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edstreake/Dropbox/UAH WORK/UAH 2015/websites/AL CLIMATE REPORT 2012/blue/html/2022/November/"/>
    </mc:Choice>
  </mc:AlternateContent>
  <xr:revisionPtr revIDLastSave="0" documentId="13_ncr:1_{033495B4-831E-C34E-A781-555AE50C55DE}" xr6:coauthVersionLast="47" xr6:coauthVersionMax="47" xr10:uidLastSave="{00000000-0000-0000-0000-000000000000}"/>
  <bookViews>
    <workbookView xWindow="11520" yWindow="500" windowWidth="16940" windowHeight="24780" tabRatio="873" firstSheet="9" activeTab="10" xr2:uid="{00000000-000D-0000-FFFF-FFFF00000000}"/>
  </bookViews>
  <sheets>
    <sheet name="CoCoRAHS January 2022" sheetId="1" r:id="rId1"/>
    <sheet name="CoCoRAHS_February 2022" sheetId="2" r:id="rId2"/>
    <sheet name="CoCoRAHS_March 2022" sheetId="3" r:id="rId3"/>
    <sheet name="CoCoRAHS_April 2022" sheetId="5" r:id="rId4"/>
    <sheet name="CoCoRAHS_May 2022" sheetId="6" r:id="rId5"/>
    <sheet name="CoCoRAHS_June 2022" sheetId="7" r:id="rId6"/>
    <sheet name="CoCoRAHS_July 2022" sheetId="8" r:id="rId7"/>
    <sheet name="CoCoRAHS_August_2022" sheetId="9" r:id="rId8"/>
    <sheet name="CoCoRAHS_September 2022" sheetId="10" r:id="rId9"/>
    <sheet name="CoCoRAHS_October_2022" sheetId="11" r:id="rId10"/>
    <sheet name="CoCoRAHS_November_2022" sheetId="12" r:id="rId11"/>
    <sheet name="CoCoRAHS_December_2021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2" l="1"/>
  <c r="F36" i="12"/>
  <c r="F35" i="12"/>
  <c r="F33" i="12"/>
  <c r="F32" i="12"/>
  <c r="F30" i="12"/>
  <c r="F28" i="12"/>
  <c r="F27" i="12"/>
  <c r="F26" i="12"/>
  <c r="F21" i="12"/>
  <c r="F20" i="12"/>
  <c r="F19" i="12"/>
  <c r="F18" i="12"/>
  <c r="F17" i="12"/>
  <c r="F14" i="12"/>
  <c r="F11" i="12"/>
  <c r="F10" i="12"/>
  <c r="F9" i="12"/>
  <c r="F8" i="12"/>
  <c r="F6" i="12"/>
  <c r="F5" i="12"/>
  <c r="F4" i="12"/>
  <c r="B31" i="12"/>
  <c r="B30" i="12"/>
  <c r="B29" i="12"/>
  <c r="B28" i="12"/>
  <c r="B25" i="12"/>
  <c r="B20" i="12"/>
  <c r="B16" i="12"/>
  <c r="B11" i="12"/>
  <c r="B8" i="12"/>
  <c r="B4" i="12"/>
  <c r="F36" i="11"/>
  <c r="F35" i="11"/>
  <c r="F33" i="11"/>
  <c r="F32" i="11"/>
  <c r="F30" i="11"/>
  <c r="F28" i="11"/>
  <c r="F27" i="11"/>
  <c r="F26" i="11"/>
  <c r="F21" i="11"/>
  <c r="F20" i="11"/>
  <c r="F19" i="11"/>
  <c r="F18" i="11"/>
  <c r="F17" i="11"/>
  <c r="F14" i="11"/>
  <c r="F11" i="11"/>
  <c r="F10" i="11"/>
  <c r="F9" i="11"/>
  <c r="F8" i="11"/>
  <c r="F6" i="11"/>
  <c r="F5" i="11"/>
  <c r="F4" i="11"/>
  <c r="B30" i="11"/>
  <c r="B29" i="11"/>
  <c r="B28" i="11"/>
  <c r="B25" i="11"/>
  <c r="B20" i="11"/>
  <c r="B16" i="11"/>
  <c r="B11" i="11"/>
  <c r="B8" i="11"/>
  <c r="B5" i="11"/>
  <c r="B4" i="11"/>
  <c r="F36" i="10"/>
  <c r="F35" i="10"/>
  <c r="F33" i="10"/>
  <c r="F32" i="10"/>
  <c r="F30" i="10"/>
  <c r="F28" i="10"/>
  <c r="F27" i="10"/>
  <c r="F26" i="10"/>
  <c r="F21" i="10"/>
  <c r="F20" i="10"/>
  <c r="F19" i="10"/>
  <c r="F18" i="10"/>
  <c r="F17" i="10"/>
  <c r="F14" i="10"/>
  <c r="F11" i="10"/>
  <c r="F10" i="10"/>
  <c r="F9" i="10"/>
  <c r="F8" i="10"/>
  <c r="F6" i="10"/>
  <c r="F5" i="10"/>
  <c r="F4" i="10"/>
  <c r="B31" i="10"/>
  <c r="B30" i="10"/>
  <c r="B29" i="10"/>
  <c r="B28" i="10"/>
  <c r="B25" i="10"/>
  <c r="B20" i="10"/>
  <c r="B16" i="10"/>
  <c r="B11" i="10"/>
  <c r="B8" i="10"/>
  <c r="B5" i="10"/>
  <c r="B4" i="10"/>
  <c r="B5" i="9"/>
  <c r="F36" i="9"/>
  <c r="F35" i="9"/>
  <c r="F33" i="9"/>
  <c r="F32" i="9"/>
  <c r="F30" i="9"/>
  <c r="F28" i="9"/>
  <c r="F27" i="9"/>
  <c r="F26" i="9"/>
  <c r="F21" i="9"/>
  <c r="F20" i="9"/>
  <c r="F19" i="9"/>
  <c r="F18" i="9"/>
  <c r="F17" i="9"/>
  <c r="F14" i="9"/>
  <c r="F11" i="9"/>
  <c r="F10" i="9"/>
  <c r="F9" i="9"/>
  <c r="F8" i="9"/>
  <c r="F6" i="9"/>
  <c r="F5" i="9"/>
  <c r="F4" i="9"/>
  <c r="B31" i="9"/>
  <c r="B30" i="9"/>
  <c r="B29" i="9"/>
  <c r="B28" i="9"/>
  <c r="B25" i="9"/>
  <c r="B20" i="9"/>
  <c r="B16" i="9"/>
  <c r="B11" i="9"/>
  <c r="B8" i="9"/>
  <c r="B4" i="9"/>
  <c r="B5" i="8"/>
  <c r="F36" i="8"/>
  <c r="F35" i="8"/>
  <c r="F33" i="8"/>
  <c r="F32" i="8"/>
  <c r="F30" i="8"/>
  <c r="F28" i="8"/>
  <c r="F27" i="8"/>
  <c r="F26" i="8"/>
  <c r="F21" i="8"/>
  <c r="F20" i="8"/>
  <c r="F19" i="8"/>
  <c r="F18" i="8"/>
  <c r="F17" i="8"/>
  <c r="F14" i="8"/>
  <c r="F11" i="8"/>
  <c r="F10" i="8"/>
  <c r="F9" i="8"/>
  <c r="F8" i="8"/>
  <c r="F6" i="8"/>
  <c r="F5" i="8"/>
  <c r="F4" i="8"/>
  <c r="B32" i="8"/>
  <c r="B31" i="8"/>
  <c r="B30" i="8"/>
  <c r="B29" i="8"/>
  <c r="B28" i="8"/>
  <c r="B25" i="8"/>
  <c r="B20" i="8"/>
  <c r="B16" i="8"/>
  <c r="B11" i="8"/>
  <c r="B8" i="8"/>
  <c r="F36" i="7"/>
  <c r="F35" i="7"/>
  <c r="F33" i="7"/>
  <c r="F32" i="7"/>
  <c r="F30" i="7"/>
  <c r="F28" i="7"/>
  <c r="F27" i="7"/>
  <c r="F26" i="7"/>
  <c r="F21" i="7"/>
  <c r="F20" i="7"/>
  <c r="F19" i="7"/>
  <c r="F18" i="7"/>
  <c r="F17" i="7"/>
  <c r="F14" i="7"/>
  <c r="F11" i="7"/>
  <c r="F10" i="7"/>
  <c r="F9" i="7"/>
  <c r="F8" i="7"/>
  <c r="F6" i="7"/>
  <c r="F5" i="7"/>
  <c r="F4" i="7"/>
  <c r="B32" i="7"/>
  <c r="B31" i="7"/>
  <c r="B30" i="7"/>
  <c r="B29" i="7"/>
  <c r="B28" i="7"/>
  <c r="B25" i="7"/>
  <c r="B20" i="7"/>
  <c r="B16" i="7"/>
  <c r="B15" i="7"/>
  <c r="B11" i="7"/>
  <c r="B8" i="7"/>
  <c r="B5" i="7"/>
  <c r="F36" i="6"/>
  <c r="F35" i="6"/>
  <c r="F33" i="6"/>
  <c r="F32" i="6"/>
  <c r="F30" i="6"/>
  <c r="F28" i="6"/>
  <c r="F27" i="6"/>
  <c r="F26" i="6"/>
  <c r="F21" i="6"/>
  <c r="F20" i="6"/>
  <c r="F19" i="6"/>
  <c r="F18" i="6"/>
  <c r="F17" i="6"/>
  <c r="F14" i="6"/>
  <c r="F11" i="6"/>
  <c r="F10" i="6"/>
  <c r="F9" i="6"/>
  <c r="F8" i="6"/>
  <c r="F6" i="6"/>
  <c r="F5" i="6"/>
  <c r="F4" i="6"/>
  <c r="B31" i="6"/>
  <c r="B30" i="6"/>
  <c r="B29" i="6"/>
  <c r="B28" i="6"/>
  <c r="B25" i="6"/>
  <c r="B20" i="6"/>
  <c r="B16" i="6"/>
  <c r="B11" i="6"/>
  <c r="B8" i="6"/>
  <c r="B5" i="6"/>
  <c r="F36" i="5"/>
  <c r="F35" i="5"/>
  <c r="F32" i="5"/>
  <c r="F30" i="5"/>
  <c r="F28" i="5"/>
  <c r="F27" i="5"/>
  <c r="F26" i="5"/>
  <c r="F21" i="5"/>
  <c r="F20" i="5"/>
  <c r="F19" i="5"/>
  <c r="F18" i="5"/>
  <c r="F17" i="5"/>
  <c r="F14" i="5"/>
  <c r="F11" i="5"/>
  <c r="F10" i="5"/>
  <c r="F9" i="5"/>
  <c r="F8" i="5"/>
  <c r="F6" i="5"/>
  <c r="F5" i="5"/>
  <c r="F4" i="5"/>
  <c r="B31" i="5"/>
  <c r="B29" i="5"/>
  <c r="B28" i="5"/>
  <c r="B25" i="5"/>
  <c r="B20" i="5"/>
  <c r="B16" i="5"/>
  <c r="B15" i="5"/>
  <c r="B11" i="5"/>
  <c r="B8" i="5"/>
  <c r="B5" i="5"/>
  <c r="F36" i="3"/>
  <c r="F35" i="3"/>
  <c r="F32" i="3"/>
  <c r="F30" i="3"/>
  <c r="F28" i="3"/>
  <c r="F27" i="3"/>
  <c r="F26" i="3"/>
  <c r="F21" i="3"/>
  <c r="F20" i="3"/>
  <c r="F19" i="3"/>
  <c r="F18" i="3"/>
  <c r="F17" i="3"/>
  <c r="F14" i="3"/>
  <c r="F11" i="3"/>
  <c r="F10" i="3"/>
  <c r="F9" i="3"/>
  <c r="F8" i="3"/>
  <c r="F6" i="3"/>
  <c r="F5" i="3"/>
  <c r="F4" i="3"/>
  <c r="B31" i="3"/>
  <c r="B29" i="3"/>
  <c r="B28" i="3"/>
  <c r="B25" i="3"/>
  <c r="B20" i="3"/>
  <c r="B16" i="3"/>
  <c r="B11" i="3"/>
  <c r="B8" i="3"/>
  <c r="B5" i="3"/>
  <c r="F36" i="2"/>
  <c r="F35" i="2"/>
  <c r="F32" i="2"/>
  <c r="F30" i="2"/>
  <c r="F28" i="2"/>
  <c r="F27" i="2"/>
  <c r="F26" i="2"/>
  <c r="F21" i="2"/>
  <c r="F20" i="2"/>
  <c r="F19" i="2"/>
  <c r="F18" i="2"/>
  <c r="F17" i="2"/>
  <c r="F14" i="2"/>
  <c r="F11" i="2"/>
  <c r="F10" i="2"/>
  <c r="F9" i="2"/>
  <c r="F8" i="2"/>
  <c r="F6" i="2"/>
  <c r="F5" i="2"/>
  <c r="F4" i="2"/>
  <c r="B31" i="2"/>
  <c r="B29" i="2"/>
  <c r="B28" i="2"/>
  <c r="B25" i="2"/>
  <c r="B20" i="2"/>
  <c r="B16" i="2"/>
  <c r="B11" i="2"/>
  <c r="B8" i="2"/>
  <c r="B5" i="2"/>
  <c r="F36" i="1"/>
  <c r="F35" i="1"/>
  <c r="F32" i="1"/>
  <c r="F30" i="1"/>
  <c r="F28" i="1"/>
  <c r="F27" i="1"/>
  <c r="F26" i="1"/>
  <c r="F21" i="1"/>
  <c r="F20" i="1"/>
  <c r="F19" i="1"/>
  <c r="F18" i="1"/>
  <c r="F17" i="1"/>
  <c r="F14" i="1"/>
  <c r="F11" i="1"/>
  <c r="F10" i="1"/>
  <c r="F9" i="1"/>
  <c r="F8" i="1"/>
  <c r="F6" i="1"/>
  <c r="F5" i="1"/>
  <c r="F4" i="1"/>
  <c r="B31" i="1"/>
  <c r="B29" i="1"/>
  <c r="B28" i="1"/>
  <c r="B25" i="1"/>
  <c r="B20" i="1"/>
  <c r="B16" i="1"/>
  <c r="B11" i="1"/>
  <c r="B8" i="1"/>
  <c r="B5" i="1"/>
  <c r="B4" i="1"/>
  <c r="F36" i="13"/>
  <c r="F35" i="13"/>
  <c r="F32" i="13"/>
  <c r="F30" i="13"/>
  <c r="F28" i="13"/>
  <c r="F27" i="13"/>
  <c r="F26" i="13"/>
  <c r="F21" i="13"/>
  <c r="F20" i="13"/>
  <c r="F19" i="13"/>
  <c r="F18" i="13"/>
  <c r="F17" i="13"/>
  <c r="F14" i="13"/>
  <c r="F11" i="13"/>
  <c r="F10" i="13"/>
  <c r="F9" i="13"/>
  <c r="F8" i="13"/>
  <c r="F6" i="13"/>
  <c r="F5" i="13"/>
  <c r="F4" i="13"/>
  <c r="B31" i="13"/>
  <c r="B29" i="13"/>
  <c r="B28" i="13"/>
  <c r="B25" i="13"/>
  <c r="B22" i="13"/>
  <c r="B20" i="13"/>
  <c r="B16" i="13"/>
  <c r="B11" i="13"/>
  <c r="B8" i="13"/>
  <c r="B5" i="13"/>
  <c r="B4" i="13"/>
</calcChain>
</file>

<file path=xl/sharedStrings.xml><?xml version="1.0" encoding="utf-8"?>
<sst xmlns="http://schemas.openxmlformats.org/spreadsheetml/2006/main" count="1650" uniqueCount="135">
  <si>
    <t>Henry</t>
  </si>
  <si>
    <t>Winston</t>
  </si>
  <si>
    <t>Hale</t>
  </si>
  <si>
    <t>Wilcox</t>
  </si>
  <si>
    <t>Greene</t>
  </si>
  <si>
    <t>Washington</t>
  </si>
  <si>
    <t>Geneva</t>
  </si>
  <si>
    <t>Walker</t>
  </si>
  <si>
    <t>Franklin</t>
  </si>
  <si>
    <t>Tuscaloosa</t>
  </si>
  <si>
    <t>Fayette</t>
  </si>
  <si>
    <t>Tallapoosa</t>
  </si>
  <si>
    <t>Etowah</t>
  </si>
  <si>
    <t>Talladega</t>
  </si>
  <si>
    <t>Escambia</t>
  </si>
  <si>
    <t>Wetumpka</t>
  </si>
  <si>
    <t>Sumter</t>
  </si>
  <si>
    <t>Elmore</t>
  </si>
  <si>
    <t>Vernon</t>
  </si>
  <si>
    <t>Shelby</t>
  </si>
  <si>
    <t>DeKalb</t>
  </si>
  <si>
    <t>Union Springs</t>
  </si>
  <si>
    <t>St. Clair</t>
  </si>
  <si>
    <t>Dallas</t>
  </si>
  <si>
    <t>Sylacauga</t>
  </si>
  <si>
    <t>Russell</t>
  </si>
  <si>
    <t>Dale</t>
  </si>
  <si>
    <t>Rockford</t>
  </si>
  <si>
    <t>Randolph</t>
  </si>
  <si>
    <t>Cullman</t>
  </si>
  <si>
    <t>Rock Mills</t>
  </si>
  <si>
    <t>Pike</t>
  </si>
  <si>
    <t>Crenshaw</t>
  </si>
  <si>
    <t>Plantersville</t>
  </si>
  <si>
    <t>Pickens</t>
  </si>
  <si>
    <t xml:space="preserve">Covington </t>
  </si>
  <si>
    <t>Perry</t>
  </si>
  <si>
    <t>Coosa</t>
  </si>
  <si>
    <t>Melvin</t>
  </si>
  <si>
    <t>Morgan</t>
  </si>
  <si>
    <t>Conecuh</t>
  </si>
  <si>
    <t>Livingston</t>
  </si>
  <si>
    <t>Montgomery</t>
  </si>
  <si>
    <t>Colbert</t>
  </si>
  <si>
    <t>Lafayette</t>
  </si>
  <si>
    <t>Monroe</t>
  </si>
  <si>
    <t>Coffee</t>
  </si>
  <si>
    <t>Jasper</t>
  </si>
  <si>
    <t>Mobile</t>
  </si>
  <si>
    <t>Cleburne</t>
  </si>
  <si>
    <t>Hurtsboro</t>
  </si>
  <si>
    <t>Marshall</t>
  </si>
  <si>
    <t>Clay</t>
  </si>
  <si>
    <t>Marion</t>
  </si>
  <si>
    <t>Clarke</t>
  </si>
  <si>
    <t>Haleyville</t>
  </si>
  <si>
    <t>Marengo</t>
  </si>
  <si>
    <t>Choctaw</t>
  </si>
  <si>
    <t>Madison</t>
  </si>
  <si>
    <t>Chilton</t>
  </si>
  <si>
    <t>Macon</t>
  </si>
  <si>
    <t>Cherokee</t>
  </si>
  <si>
    <t>Lowndes</t>
  </si>
  <si>
    <t>Chambers</t>
  </si>
  <si>
    <t>Elba</t>
  </si>
  <si>
    <t>Limestone</t>
  </si>
  <si>
    <t>Calhoun</t>
  </si>
  <si>
    <t>Dauphin Isl.</t>
  </si>
  <si>
    <t>Lee</t>
  </si>
  <si>
    <t>Butler</t>
  </si>
  <si>
    <t>Lawrence</t>
  </si>
  <si>
    <t>Bullock</t>
  </si>
  <si>
    <t>Lauderdale</t>
  </si>
  <si>
    <t xml:space="preserve">Blount </t>
  </si>
  <si>
    <t>Bay Minette</t>
  </si>
  <si>
    <t>Lamar</t>
  </si>
  <si>
    <t xml:space="preserve">Bibb </t>
  </si>
  <si>
    <t>Aliceville</t>
  </si>
  <si>
    <t>Jefferson</t>
  </si>
  <si>
    <t>Barbour</t>
  </si>
  <si>
    <t>Alex City</t>
  </si>
  <si>
    <t>Jackson</t>
  </si>
  <si>
    <t>Baldwin</t>
  </si>
  <si>
    <t>Abbeville</t>
  </si>
  <si>
    <t>Houston</t>
  </si>
  <si>
    <t>Autauga</t>
  </si>
  <si>
    <t># Stations</t>
  </si>
  <si>
    <t>Ave. Total Precip.</t>
  </si>
  <si>
    <t xml:space="preserve">            Community Collaborative Rain, Hail and Snow Network (CoCoRAHS)</t>
  </si>
  <si>
    <t>Normal March Precipitation*</t>
  </si>
  <si>
    <t>Normal June Precipitation*</t>
  </si>
  <si>
    <t>Normal August Precipitation*</t>
  </si>
  <si>
    <t>Normal Precipitation*</t>
  </si>
  <si>
    <t>Normal November Precipitation*</t>
  </si>
  <si>
    <t>Alberta</t>
  </si>
  <si>
    <t>Andalusia</t>
  </si>
  <si>
    <t>Ashland</t>
  </si>
  <si>
    <t>Athens</t>
  </si>
  <si>
    <t>Bessemer</t>
  </si>
  <si>
    <t>Billingsly</t>
  </si>
  <si>
    <t>Centreville WSMO</t>
  </si>
  <si>
    <t>Chatom</t>
  </si>
  <si>
    <t>Claiborne L&amp;D</t>
  </si>
  <si>
    <t>Clayton</t>
  </si>
  <si>
    <t>Eufaula WR</t>
  </si>
  <si>
    <t>Evergreen</t>
  </si>
  <si>
    <t>Greenville</t>
  </si>
  <si>
    <t>Heflin</t>
  </si>
  <si>
    <t>Milstead</t>
  </si>
  <si>
    <t>Moulton</t>
  </si>
  <si>
    <t>Oneonta</t>
  </si>
  <si>
    <t>Perryville</t>
  </si>
  <si>
    <t>Warrior L&amp;D</t>
  </si>
  <si>
    <t>Uniontown</t>
  </si>
  <si>
    <t>Normal May Precipitation*</t>
  </si>
  <si>
    <t>Geneva 2</t>
  </si>
  <si>
    <t>Hamilton 3S</t>
  </si>
  <si>
    <t>n.a.</t>
  </si>
  <si>
    <t>Normal July Precipitation*</t>
  </si>
  <si>
    <t>Normal December Precipitation*</t>
  </si>
  <si>
    <t>Normal January Precipitation*</t>
  </si>
  <si>
    <t>Normal February Precipitation*</t>
  </si>
  <si>
    <t>December 2021</t>
  </si>
  <si>
    <t>January 2022</t>
  </si>
  <si>
    <t>n.a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</si>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</sst>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DDB6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2" fontId="0" fillId="2" borderId="1" xfId="0" applyNumberFormat="1" applyFill="1" applyBorder="1"/>
    <xf numFmtId="0" fontId="0" fillId="2" borderId="0" xfId="0" applyFill="1"/>
    <xf numFmtId="0" fontId="0" fillId="2" borderId="1" xfId="0" applyFill="1" applyBorder="1"/>
    <xf numFmtId="2" fontId="0" fillId="0" borderId="1" xfId="0" applyNumberFormat="1" applyBorder="1" applyAlignment="1">
      <alignment horizontal="right"/>
    </xf>
    <xf numFmtId="2" fontId="0" fillId="3" borderId="1" xfId="0" applyNumberFormat="1" applyFill="1" applyBorder="1"/>
    <xf numFmtId="0" fontId="0" fillId="3" borderId="1" xfId="0" applyFill="1" applyBorder="1"/>
    <xf numFmtId="2" fontId="0" fillId="3" borderId="1" xfId="0" applyNumberForma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0" xfId="0" applyNumberFormat="1" applyAlignment="1">
      <alignment horizontal="right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ADD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opLeftCell="A37" zoomScale="90" zoomScaleNormal="90" workbookViewId="0">
      <selection activeCell="G37" sqref="G37"/>
    </sheetView>
  </sheetViews>
  <sheetFormatPr baseColWidth="10" defaultColWidth="8.83203125" defaultRowHeight="15" x14ac:dyDescent="0.2"/>
  <cols>
    <col min="1" max="1" width="13.5" customWidth="1"/>
    <col min="2" max="2" width="17" style="15" customWidth="1"/>
    <col min="3" max="3" width="13.832031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7.5" bestFit="1" customWidth="1"/>
  </cols>
  <sheetData>
    <row r="1" spans="1:10" x14ac:dyDescent="0.2">
      <c r="A1" s="28" t="s">
        <v>88</v>
      </c>
      <c r="B1" s="28"/>
      <c r="C1" s="28"/>
      <c r="D1" s="28"/>
      <c r="E1" s="28"/>
      <c r="F1" s="28"/>
      <c r="G1" s="28"/>
      <c r="H1" s="28"/>
    </row>
    <row r="2" spans="1:10" x14ac:dyDescent="0.2">
      <c r="A2" s="29" t="s">
        <v>123</v>
      </c>
      <c r="B2" s="29"/>
      <c r="C2" s="29"/>
      <c r="D2" s="29"/>
      <c r="E2" s="29"/>
      <c r="F2" s="29"/>
      <c r="G2" s="29"/>
      <c r="H2" s="29"/>
    </row>
    <row r="3" spans="1:10" ht="16" x14ac:dyDescent="0.2">
      <c r="B3" s="27" t="s">
        <v>87</v>
      </c>
      <c r="C3" s="4" t="s">
        <v>86</v>
      </c>
      <c r="F3" s="5" t="s">
        <v>87</v>
      </c>
      <c r="G3" s="4" t="s">
        <v>86</v>
      </c>
    </row>
    <row r="4" spans="1:10" ht="32" x14ac:dyDescent="0.2">
      <c r="A4" t="s">
        <v>85</v>
      </c>
      <c r="B4" s="9">
        <f>(4.81)/2</f>
        <v>2.4049999999999998</v>
      </c>
      <c r="C4" s="1">
        <v>2</v>
      </c>
      <c r="E4" t="s">
        <v>84</v>
      </c>
      <c r="F4" s="2">
        <f>(5.02+5.45)/2</f>
        <v>5.2349999999999994</v>
      </c>
      <c r="G4" s="1">
        <v>2</v>
      </c>
      <c r="I4" s="3" t="s">
        <v>120</v>
      </c>
    </row>
    <row r="5" spans="1:10" x14ac:dyDescent="0.2">
      <c r="A5" t="s">
        <v>82</v>
      </c>
      <c r="B5" s="12">
        <f>(3.72+4.31+2.36+2.82+2.71+2.31+2.33+3.93+2.32+4.43+3.61+1.65+3.83+2.19+2.33+2.35+2.86+1.79+1.74+0.63+1.59+2.11+2.02+1.69+2.04+1.75+1.6+2.35+1.8+2.31+1.94)/31</f>
        <v>2.4329032258064509</v>
      </c>
      <c r="C5" s="11">
        <v>31</v>
      </c>
      <c r="E5" t="s">
        <v>81</v>
      </c>
      <c r="F5" s="10">
        <f>(6.05+5.88+5.51+6.73+2.9)/5</f>
        <v>5.4139999999999997</v>
      </c>
      <c r="G5" s="11">
        <v>5</v>
      </c>
      <c r="I5" s="1" t="s">
        <v>83</v>
      </c>
      <c r="J5" s="2">
        <v>5.3</v>
      </c>
    </row>
    <row r="6" spans="1:10" x14ac:dyDescent="0.2">
      <c r="A6" t="s">
        <v>79</v>
      </c>
      <c r="B6" s="12">
        <v>4.04</v>
      </c>
      <c r="C6" s="11">
        <v>1</v>
      </c>
      <c r="E6" t="s">
        <v>78</v>
      </c>
      <c r="F6" s="10">
        <f>(6.42+4.32+3.89+4.39+3.79+4.6+4.78+4.88+4.33+5.39+4.83+4.07+2.27+3.18+4.22+4.39+4.06+4.41+4.31+4.09)/20</f>
        <v>4.3310000000000004</v>
      </c>
      <c r="G6" s="11">
        <v>20</v>
      </c>
      <c r="I6" s="1" t="s">
        <v>94</v>
      </c>
      <c r="J6" s="2">
        <v>4.84</v>
      </c>
    </row>
    <row r="7" spans="1:10" x14ac:dyDescent="0.2">
      <c r="A7" t="s">
        <v>76</v>
      </c>
      <c r="B7" s="9" t="s">
        <v>117</v>
      </c>
      <c r="C7" s="1">
        <v>0</v>
      </c>
      <c r="E7" t="s">
        <v>75</v>
      </c>
      <c r="F7" s="6">
        <v>1.2</v>
      </c>
      <c r="G7" s="8">
        <v>1</v>
      </c>
      <c r="I7" s="1" t="s">
        <v>80</v>
      </c>
      <c r="J7" s="2">
        <v>5.69</v>
      </c>
    </row>
    <row r="8" spans="1:10" x14ac:dyDescent="0.2">
      <c r="A8" t="s">
        <v>73</v>
      </c>
      <c r="B8" s="9">
        <f>(4.28+5.97+4.18+0.1)/4</f>
        <v>3.6324999999999998</v>
      </c>
      <c r="C8" s="1">
        <v>4</v>
      </c>
      <c r="E8" t="s">
        <v>72</v>
      </c>
      <c r="F8" s="2">
        <f>(9.32+8.3+7.46+8.21+2.7+2.45+4.95+8.87+4.55+0+0+7.19)/12</f>
        <v>5.3333333333333348</v>
      </c>
      <c r="G8" s="1">
        <v>12</v>
      </c>
      <c r="I8" s="1" t="s">
        <v>77</v>
      </c>
      <c r="J8" s="2">
        <v>5.3</v>
      </c>
    </row>
    <row r="9" spans="1:10" x14ac:dyDescent="0.2">
      <c r="A9" t="s">
        <v>71</v>
      </c>
      <c r="B9" s="12" t="s">
        <v>117</v>
      </c>
      <c r="C9" s="11">
        <v>0</v>
      </c>
      <c r="E9" t="s">
        <v>70</v>
      </c>
      <c r="F9" s="10">
        <f>(6.41+6.86+2.69+5.93)/4</f>
        <v>5.4725000000000001</v>
      </c>
      <c r="G9" s="11">
        <v>4</v>
      </c>
      <c r="I9" s="1" t="s">
        <v>95</v>
      </c>
      <c r="J9" s="2">
        <v>5.17</v>
      </c>
    </row>
    <row r="10" spans="1:10" x14ac:dyDescent="0.2">
      <c r="A10" t="s">
        <v>69</v>
      </c>
      <c r="B10" s="12">
        <v>3.31</v>
      </c>
      <c r="C10" s="11">
        <v>1</v>
      </c>
      <c r="E10" t="s">
        <v>68</v>
      </c>
      <c r="F10" s="10">
        <f>(4.55+4.17+3.73+5.01+4.25)/5</f>
        <v>4.3420000000000005</v>
      </c>
      <c r="G10" s="11">
        <v>5</v>
      </c>
      <c r="I10" s="1" t="s">
        <v>96</v>
      </c>
      <c r="J10" s="2">
        <v>5.48</v>
      </c>
    </row>
    <row r="11" spans="1:10" x14ac:dyDescent="0.2">
      <c r="A11" t="s">
        <v>66</v>
      </c>
      <c r="B11" s="9">
        <f>(5.05+3.75)/2</f>
        <v>4.4000000000000004</v>
      </c>
      <c r="C11" s="1">
        <v>2</v>
      </c>
      <c r="E11" t="s">
        <v>65</v>
      </c>
      <c r="F11" s="2">
        <f>(6.12+6.55+7.41+6.52+6.07+5.08+5.67+5.61)/8</f>
        <v>6.1287500000000001</v>
      </c>
      <c r="G11" s="1">
        <v>8</v>
      </c>
      <c r="I11" s="1" t="s">
        <v>97</v>
      </c>
      <c r="J11" s="2">
        <v>6.06</v>
      </c>
    </row>
    <row r="12" spans="1:10" x14ac:dyDescent="0.2">
      <c r="A12" t="s">
        <v>63</v>
      </c>
      <c r="B12" s="9" t="s">
        <v>117</v>
      </c>
      <c r="C12" s="1">
        <v>0</v>
      </c>
      <c r="E12" t="s">
        <v>62</v>
      </c>
      <c r="F12" s="9" t="s">
        <v>124</v>
      </c>
      <c r="G12" s="1">
        <v>0</v>
      </c>
      <c r="I12" s="1" t="s">
        <v>74</v>
      </c>
      <c r="J12" s="2">
        <v>5.43</v>
      </c>
    </row>
    <row r="13" spans="1:10" x14ac:dyDescent="0.2">
      <c r="A13" t="s">
        <v>61</v>
      </c>
      <c r="B13" s="12" t="s">
        <v>117</v>
      </c>
      <c r="C13" s="11">
        <v>0</v>
      </c>
      <c r="E13" t="s">
        <v>60</v>
      </c>
      <c r="F13" s="10">
        <v>2.3199999999999998</v>
      </c>
      <c r="G13" s="11">
        <v>1</v>
      </c>
      <c r="I13" s="1" t="s">
        <v>98</v>
      </c>
      <c r="J13" s="2">
        <v>5.34</v>
      </c>
    </row>
    <row r="14" spans="1:10" x14ac:dyDescent="0.2">
      <c r="A14" t="s">
        <v>59</v>
      </c>
      <c r="B14" s="12">
        <v>5.46</v>
      </c>
      <c r="C14" s="11">
        <v>1</v>
      </c>
      <c r="E14" t="s">
        <v>58</v>
      </c>
      <c r="F14" s="10">
        <f>(4.75+5.86+7.26+5.43+5.96+6.76+7.05+7.86+7+3.15+5.82+5.94+7.78+6.55+6.53+5.86+5.08+6.1+7.41+5.09+7.42+5.09+6.82)/23</f>
        <v>6.1986956521739112</v>
      </c>
      <c r="G14" s="11">
        <v>23</v>
      </c>
      <c r="I14" s="1" t="s">
        <v>99</v>
      </c>
      <c r="J14" s="2">
        <v>4.9800000000000004</v>
      </c>
    </row>
    <row r="15" spans="1:10" x14ac:dyDescent="0.2">
      <c r="A15" t="s">
        <v>57</v>
      </c>
      <c r="B15" s="9">
        <v>3.11</v>
      </c>
      <c r="C15" s="1">
        <v>1</v>
      </c>
      <c r="E15" t="s">
        <v>56</v>
      </c>
      <c r="F15" s="9" t="s">
        <v>124</v>
      </c>
      <c r="G15" s="1">
        <v>0</v>
      </c>
      <c r="I15" s="1" t="s">
        <v>100</v>
      </c>
      <c r="J15" s="2">
        <v>5.63</v>
      </c>
    </row>
    <row r="16" spans="1:10" x14ac:dyDescent="0.2">
      <c r="A16" t="s">
        <v>54</v>
      </c>
      <c r="B16" s="9">
        <f>(4.8+4.94+6.09)/3</f>
        <v>5.2766666666666664</v>
      </c>
      <c r="C16" s="1">
        <v>3</v>
      </c>
      <c r="E16" t="s">
        <v>53</v>
      </c>
      <c r="F16" s="2">
        <v>4.99</v>
      </c>
      <c r="G16" s="1">
        <v>1</v>
      </c>
      <c r="I16" s="1" t="s">
        <v>101</v>
      </c>
      <c r="J16" s="2">
        <v>5.45</v>
      </c>
    </row>
    <row r="17" spans="1:10" x14ac:dyDescent="0.2">
      <c r="A17" t="s">
        <v>52</v>
      </c>
      <c r="B17" s="12">
        <v>5.13</v>
      </c>
      <c r="C17" s="11">
        <v>1</v>
      </c>
      <c r="E17" t="s">
        <v>51</v>
      </c>
      <c r="F17" s="10">
        <f>(4.84+4.76+6.76+1.64+5.02+5.01+5.06+3.69+6.16+6.7+8.09)/11</f>
        <v>5.2481818181818189</v>
      </c>
      <c r="G17" s="11">
        <v>11</v>
      </c>
      <c r="I17" s="1" t="s">
        <v>102</v>
      </c>
      <c r="J17" s="2">
        <v>5.49</v>
      </c>
    </row>
    <row r="18" spans="1:10" x14ac:dyDescent="0.2">
      <c r="A18" t="s">
        <v>49</v>
      </c>
      <c r="B18" s="12" t="s">
        <v>117</v>
      </c>
      <c r="C18" s="11">
        <v>0</v>
      </c>
      <c r="E18" t="s">
        <v>48</v>
      </c>
      <c r="F18" s="10">
        <f>(2.79+2.75+1.95+2.99+3.15+2.91+2.86+1.81+3.73+2.63+2.87+2.85+2.82+3.17+3.19+2.59+1.96+0.45+2.96+1.39+4.15)/21</f>
        <v>2.6652380952380956</v>
      </c>
      <c r="G18" s="11">
        <v>21</v>
      </c>
      <c r="I18" s="1" t="s">
        <v>103</v>
      </c>
      <c r="J18" s="2">
        <v>4.91</v>
      </c>
    </row>
    <row r="19" spans="1:10" x14ac:dyDescent="0.2">
      <c r="A19" t="s">
        <v>46</v>
      </c>
      <c r="B19" s="9" t="s">
        <v>117</v>
      </c>
      <c r="C19" s="1">
        <v>0</v>
      </c>
      <c r="E19" t="s">
        <v>45</v>
      </c>
      <c r="F19" s="2">
        <f>(3.43+4.8+3.57)/3</f>
        <v>3.9333333333333336</v>
      </c>
      <c r="G19" s="1">
        <v>3</v>
      </c>
      <c r="I19" s="1" t="s">
        <v>67</v>
      </c>
      <c r="J19" s="2">
        <v>5.86</v>
      </c>
    </row>
    <row r="20" spans="1:10" x14ac:dyDescent="0.2">
      <c r="A20" t="s">
        <v>43</v>
      </c>
      <c r="B20" s="9">
        <f>(6.72+6.57+6.59+5.97+6.37+5.81)/6</f>
        <v>6.3383333333333338</v>
      </c>
      <c r="C20" s="1">
        <v>6</v>
      </c>
      <c r="E20" t="s">
        <v>42</v>
      </c>
      <c r="F20" s="2">
        <f>(4.61+8.33+4.22+5.28)/4</f>
        <v>5.61</v>
      </c>
      <c r="G20" s="1">
        <v>4</v>
      </c>
      <c r="I20" s="1" t="s">
        <v>64</v>
      </c>
      <c r="J20" s="2">
        <v>5.08</v>
      </c>
    </row>
    <row r="21" spans="1:10" x14ac:dyDescent="0.2">
      <c r="A21" t="s">
        <v>40</v>
      </c>
      <c r="B21" s="12" t="s">
        <v>117</v>
      </c>
      <c r="C21" s="11">
        <v>0</v>
      </c>
      <c r="E21" t="s">
        <v>39</v>
      </c>
      <c r="F21" s="10">
        <f>(5.97+6.62+5.39+5.2+4.69+5.35)/6</f>
        <v>5.5366666666666662</v>
      </c>
      <c r="G21" s="11">
        <v>6</v>
      </c>
      <c r="I21" s="1" t="s">
        <v>104</v>
      </c>
      <c r="J21" s="2">
        <v>5.2</v>
      </c>
    </row>
    <row r="22" spans="1:10" x14ac:dyDescent="0.2">
      <c r="A22" t="s">
        <v>37</v>
      </c>
      <c r="B22" s="12">
        <v>6.13</v>
      </c>
      <c r="C22" s="11">
        <v>1</v>
      </c>
      <c r="E22" t="s">
        <v>36</v>
      </c>
      <c r="F22" s="12" t="s">
        <v>124</v>
      </c>
      <c r="G22" s="11">
        <v>0</v>
      </c>
      <c r="I22" s="1" t="s">
        <v>105</v>
      </c>
      <c r="J22" s="2">
        <v>5.55</v>
      </c>
    </row>
    <row r="23" spans="1:10" x14ac:dyDescent="0.2">
      <c r="A23" t="s">
        <v>35</v>
      </c>
      <c r="B23" s="9">
        <v>3.29</v>
      </c>
      <c r="C23" s="1">
        <v>1</v>
      </c>
      <c r="E23" t="s">
        <v>34</v>
      </c>
      <c r="F23" s="9">
        <v>1.1499999999999999</v>
      </c>
      <c r="G23" s="1">
        <v>1</v>
      </c>
      <c r="I23" s="1" t="s">
        <v>10</v>
      </c>
      <c r="J23" s="2">
        <v>5.75</v>
      </c>
    </row>
    <row r="24" spans="1:10" x14ac:dyDescent="0.2">
      <c r="A24" t="s">
        <v>32</v>
      </c>
      <c r="B24" s="9" t="s">
        <v>117</v>
      </c>
      <c r="C24" s="1">
        <v>0</v>
      </c>
      <c r="E24" t="s">
        <v>31</v>
      </c>
      <c r="F24" s="9" t="s">
        <v>124</v>
      </c>
      <c r="G24" s="1">
        <v>0</v>
      </c>
      <c r="I24" s="1" t="s">
        <v>115</v>
      </c>
      <c r="J24" s="2">
        <v>6.43</v>
      </c>
    </row>
    <row r="25" spans="1:10" x14ac:dyDescent="0.2">
      <c r="A25" t="s">
        <v>29</v>
      </c>
      <c r="B25" s="12">
        <f>(0.02+4.92+4.07+5.21)/4</f>
        <v>3.5549999999999997</v>
      </c>
      <c r="C25" s="11">
        <v>4</v>
      </c>
      <c r="E25" t="s">
        <v>28</v>
      </c>
      <c r="F25" s="10">
        <v>3.22</v>
      </c>
      <c r="G25" s="11">
        <v>1</v>
      </c>
      <c r="I25" s="1" t="s">
        <v>106</v>
      </c>
      <c r="J25" s="2">
        <v>4.9800000000000004</v>
      </c>
    </row>
    <row r="26" spans="1:10" x14ac:dyDescent="0.2">
      <c r="A26" t="s">
        <v>26</v>
      </c>
      <c r="B26" s="12" t="s">
        <v>117</v>
      </c>
      <c r="C26" s="11">
        <v>0</v>
      </c>
      <c r="E26" t="s">
        <v>25</v>
      </c>
      <c r="F26" s="10">
        <f>(0.64+4.15)/2</f>
        <v>2.395</v>
      </c>
      <c r="G26" s="11">
        <v>2</v>
      </c>
      <c r="I26" s="1" t="s">
        <v>55</v>
      </c>
      <c r="J26" s="2">
        <v>5.79</v>
      </c>
    </row>
    <row r="27" spans="1:10" x14ac:dyDescent="0.2">
      <c r="A27" t="s">
        <v>23</v>
      </c>
      <c r="B27" s="9">
        <v>4.9000000000000004</v>
      </c>
      <c r="C27" s="1">
        <v>1</v>
      </c>
      <c r="E27" t="s">
        <v>22</v>
      </c>
      <c r="F27" s="2">
        <f>(4.02+4.24+7.55+4.55+4.35+0)/6</f>
        <v>4.1183333333333332</v>
      </c>
      <c r="G27" s="1">
        <v>6</v>
      </c>
      <c r="I27" s="1" t="s">
        <v>116</v>
      </c>
      <c r="J27" s="2">
        <v>5.31</v>
      </c>
    </row>
    <row r="28" spans="1:10" x14ac:dyDescent="0.2">
      <c r="A28" t="s">
        <v>20</v>
      </c>
      <c r="B28" s="9">
        <f>(5.82+5.64+5.07+5.29+4.76+5.45+5.29)/7</f>
        <v>5.3314285714285718</v>
      </c>
      <c r="C28" s="1">
        <v>7</v>
      </c>
      <c r="E28" t="s">
        <v>19</v>
      </c>
      <c r="F28" s="6">
        <f>(4.01+4.3+4.15+4.25+4.37+5.12+4.53+4.57+5.12+6.15+4.6+4.49+5.1+3.76+2.05)/15</f>
        <v>4.4380000000000006</v>
      </c>
      <c r="G28" s="1">
        <v>15</v>
      </c>
      <c r="I28" s="1" t="s">
        <v>107</v>
      </c>
      <c r="J28" s="2">
        <v>5.31</v>
      </c>
    </row>
    <row r="29" spans="1:10" x14ac:dyDescent="0.2">
      <c r="A29" t="s">
        <v>17</v>
      </c>
      <c r="B29" s="12">
        <f>(6.62+6.13+5.23+5.71)/4</f>
        <v>5.9225000000000003</v>
      </c>
      <c r="C29" s="11">
        <v>4</v>
      </c>
      <c r="E29" t="s">
        <v>16</v>
      </c>
      <c r="F29" s="12" t="s">
        <v>124</v>
      </c>
      <c r="G29" s="11">
        <v>0</v>
      </c>
      <c r="I29" s="1" t="s">
        <v>50</v>
      </c>
      <c r="J29" s="2">
        <v>4.8899999999999997</v>
      </c>
    </row>
    <row r="30" spans="1:10" x14ac:dyDescent="0.2">
      <c r="A30" t="s">
        <v>14</v>
      </c>
      <c r="B30" s="12">
        <v>3.58</v>
      </c>
      <c r="C30" s="11">
        <v>1</v>
      </c>
      <c r="E30" t="s">
        <v>13</v>
      </c>
      <c r="F30" s="10">
        <f>(4.63+2.04+5.18+4.59)/4</f>
        <v>4.1099999999999994</v>
      </c>
      <c r="G30" s="11">
        <v>4</v>
      </c>
      <c r="I30" s="1" t="s">
        <v>47</v>
      </c>
      <c r="J30" s="2">
        <v>5.71</v>
      </c>
    </row>
    <row r="31" spans="1:10" x14ac:dyDescent="0.2">
      <c r="A31" t="s">
        <v>12</v>
      </c>
      <c r="B31" s="9">
        <f>(4.34+3.62+2.13)/3</f>
        <v>3.3633333333333333</v>
      </c>
      <c r="C31" s="1">
        <v>3</v>
      </c>
      <c r="E31" t="s">
        <v>11</v>
      </c>
      <c r="F31" s="2">
        <v>4.1100000000000003</v>
      </c>
      <c r="G31" s="1">
        <v>1</v>
      </c>
      <c r="I31" s="1" t="s">
        <v>44</v>
      </c>
      <c r="J31" s="2">
        <v>5.19</v>
      </c>
    </row>
    <row r="32" spans="1:10" x14ac:dyDescent="0.2">
      <c r="A32" t="s">
        <v>10</v>
      </c>
      <c r="B32" s="9" t="s">
        <v>117</v>
      </c>
      <c r="C32" s="1">
        <v>0</v>
      </c>
      <c r="E32" t="s">
        <v>9</v>
      </c>
      <c r="F32" s="2">
        <f>(5.55+4.48+5.43+3.94+4.29)/5</f>
        <v>4.7380000000000004</v>
      </c>
      <c r="G32" s="1">
        <v>5</v>
      </c>
      <c r="I32" s="1" t="s">
        <v>41</v>
      </c>
      <c r="J32" s="2">
        <v>4.7699999999999996</v>
      </c>
    </row>
    <row r="33" spans="1:10" x14ac:dyDescent="0.2">
      <c r="A33" t="s">
        <v>8</v>
      </c>
      <c r="B33" s="12" t="s">
        <v>117</v>
      </c>
      <c r="C33" s="11">
        <v>0</v>
      </c>
      <c r="E33" t="s">
        <v>7</v>
      </c>
      <c r="F33" s="12">
        <v>5.17</v>
      </c>
      <c r="G33" s="11">
        <v>1</v>
      </c>
      <c r="I33" s="1" t="s">
        <v>38</v>
      </c>
      <c r="J33" s="2">
        <v>5.25</v>
      </c>
    </row>
    <row r="34" spans="1:10" x14ac:dyDescent="0.2">
      <c r="A34" t="s">
        <v>6</v>
      </c>
      <c r="B34" s="12" t="s">
        <v>117</v>
      </c>
      <c r="C34" s="11">
        <v>0</v>
      </c>
      <c r="E34" t="s">
        <v>5</v>
      </c>
      <c r="F34" s="10">
        <v>4.79</v>
      </c>
      <c r="G34" s="11">
        <v>1</v>
      </c>
      <c r="I34" s="1" t="s">
        <v>108</v>
      </c>
      <c r="J34" s="2">
        <v>4.8499999999999996</v>
      </c>
    </row>
    <row r="35" spans="1:10" x14ac:dyDescent="0.2">
      <c r="A35" t="s">
        <v>4</v>
      </c>
      <c r="B35" s="9" t="s">
        <v>117</v>
      </c>
      <c r="C35" s="1">
        <v>0</v>
      </c>
      <c r="E35" t="s">
        <v>3</v>
      </c>
      <c r="F35" s="2">
        <f>(7.01+6.65)/2</f>
        <v>6.83</v>
      </c>
      <c r="G35" s="1">
        <v>2</v>
      </c>
      <c r="I35" s="1" t="s">
        <v>109</v>
      </c>
      <c r="J35" s="2">
        <v>5.03</v>
      </c>
    </row>
    <row r="36" spans="1:10" x14ac:dyDescent="0.2">
      <c r="A36" t="s">
        <v>2</v>
      </c>
      <c r="B36" s="9" t="s">
        <v>117</v>
      </c>
      <c r="C36" s="1">
        <v>0</v>
      </c>
      <c r="E36" t="s">
        <v>1</v>
      </c>
      <c r="F36" s="2">
        <f>(5.19+4.31)/2</f>
        <v>4.75</v>
      </c>
      <c r="G36" s="1">
        <v>2</v>
      </c>
      <c r="I36" s="1" t="s">
        <v>110</v>
      </c>
      <c r="J36" s="2">
        <v>5.39</v>
      </c>
    </row>
    <row r="37" spans="1:10" x14ac:dyDescent="0.2">
      <c r="A37" t="s">
        <v>0</v>
      </c>
      <c r="B37" s="12" t="s">
        <v>117</v>
      </c>
      <c r="C37" s="11">
        <v>0</v>
      </c>
      <c r="I37" s="1" t="s">
        <v>111</v>
      </c>
      <c r="J37" s="2">
        <v>5</v>
      </c>
    </row>
    <row r="38" spans="1:10" x14ac:dyDescent="0.2">
      <c r="I38" s="1" t="s">
        <v>33</v>
      </c>
      <c r="J38" s="2">
        <v>5.26</v>
      </c>
    </row>
    <row r="39" spans="1:10" x14ac:dyDescent="0.2">
      <c r="I39" s="1" t="s">
        <v>30</v>
      </c>
      <c r="J39" s="2">
        <v>5.39</v>
      </c>
    </row>
    <row r="40" spans="1:10" x14ac:dyDescent="0.2">
      <c r="I40" s="1" t="s">
        <v>27</v>
      </c>
      <c r="J40" s="2">
        <v>5.54</v>
      </c>
    </row>
    <row r="41" spans="1:10" x14ac:dyDescent="0.2">
      <c r="I41" s="1" t="s">
        <v>24</v>
      </c>
      <c r="J41" s="2">
        <v>5.14</v>
      </c>
    </row>
    <row r="42" spans="1:10" x14ac:dyDescent="0.2">
      <c r="I42" s="1" t="s">
        <v>21</v>
      </c>
      <c r="J42" s="2">
        <v>4.7699999999999996</v>
      </c>
    </row>
    <row r="43" spans="1:10" x14ac:dyDescent="0.2">
      <c r="I43" s="1" t="s">
        <v>113</v>
      </c>
      <c r="J43" s="2">
        <v>4.99</v>
      </c>
    </row>
    <row r="44" spans="1:10" x14ac:dyDescent="0.2">
      <c r="I44" s="1" t="s">
        <v>18</v>
      </c>
      <c r="J44" s="2">
        <v>5.95</v>
      </c>
    </row>
    <row r="45" spans="1:10" x14ac:dyDescent="0.2">
      <c r="I45" s="1" t="s">
        <v>112</v>
      </c>
      <c r="J45" s="2">
        <v>5.34</v>
      </c>
    </row>
    <row r="46" spans="1:10" x14ac:dyDescent="0.2">
      <c r="I46" s="1" t="s">
        <v>15</v>
      </c>
      <c r="J46" s="2">
        <v>4.87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5"/>
  <sheetViews>
    <sheetView topLeftCell="A13" workbookViewId="0">
      <selection activeCell="F37" sqref="F37"/>
    </sheetView>
  </sheetViews>
  <sheetFormatPr baseColWidth="10" defaultColWidth="8.83203125" defaultRowHeight="15" x14ac:dyDescent="0.2"/>
  <cols>
    <col min="1" max="1" width="10.5" bestFit="1" customWidth="1"/>
    <col min="5" max="5" width="12.5" bestFit="1" customWidth="1"/>
    <col min="9" max="9" width="13.5" bestFit="1" customWidth="1"/>
  </cols>
  <sheetData>
    <row r="1" spans="1:10" x14ac:dyDescent="0.2">
      <c r="A1" s="28" t="s">
        <v>88</v>
      </c>
      <c r="B1" s="28"/>
      <c r="C1" s="28"/>
      <c r="D1" s="28"/>
      <c r="E1" s="28"/>
      <c r="F1" s="28"/>
      <c r="G1" s="28"/>
      <c r="H1" s="28"/>
    </row>
    <row r="2" spans="1:10" x14ac:dyDescent="0.2">
      <c r="A2" s="29" t="s">
        <v>133</v>
      </c>
      <c r="B2" s="29"/>
      <c r="C2" s="29"/>
      <c r="D2" s="29"/>
      <c r="E2" s="29"/>
      <c r="F2" s="29"/>
      <c r="G2" s="29"/>
      <c r="H2" s="29"/>
    </row>
    <row r="3" spans="1:10" ht="32" x14ac:dyDescent="0.2">
      <c r="B3" s="5" t="s">
        <v>87</v>
      </c>
      <c r="C3" s="4" t="s">
        <v>86</v>
      </c>
      <c r="F3" s="5" t="s">
        <v>87</v>
      </c>
      <c r="G3" s="4" t="s">
        <v>86</v>
      </c>
      <c r="I3" s="3" t="s">
        <v>92</v>
      </c>
    </row>
    <row r="4" spans="1:10" x14ac:dyDescent="0.2">
      <c r="A4" t="s">
        <v>85</v>
      </c>
      <c r="B4" s="9">
        <f>(2.62+3.16)/2</f>
        <v>2.89</v>
      </c>
      <c r="C4" s="14">
        <v>2</v>
      </c>
      <c r="E4" t="s">
        <v>84</v>
      </c>
      <c r="F4" s="9">
        <f>(1.98+2.18)/2</f>
        <v>2.08</v>
      </c>
      <c r="G4" s="14">
        <v>2</v>
      </c>
      <c r="I4" s="1" t="s">
        <v>83</v>
      </c>
      <c r="J4" s="2">
        <v>3.11</v>
      </c>
    </row>
    <row r="5" spans="1:10" x14ac:dyDescent="0.2">
      <c r="A5" t="s">
        <v>82</v>
      </c>
      <c r="B5" s="12">
        <f>(5.46+5.54+2.39+5.16+2.29+4.27+4.95+3.27+4.55+4.87+5.25+3.5+3.83+3.03+4.35+2.95+2+3.5+2.9+0.09+3.1+3.84+3.96+3.53+4.8+4.16+3.85+3.55+3.85+2.68+3.72+3.62+2.62)/33</f>
        <v>3.6796969696969697</v>
      </c>
      <c r="C5" s="16">
        <v>33</v>
      </c>
      <c r="E5" t="s">
        <v>81</v>
      </c>
      <c r="F5" s="12">
        <f>(3.21+1.62+1.82+2.51+2.14+2.18)/6</f>
        <v>2.2466666666666666</v>
      </c>
      <c r="G5" s="16">
        <v>6</v>
      </c>
      <c r="I5" s="1" t="s">
        <v>94</v>
      </c>
      <c r="J5" s="2">
        <v>3.41</v>
      </c>
    </row>
    <row r="6" spans="1:10" x14ac:dyDescent="0.2">
      <c r="A6" t="s">
        <v>79</v>
      </c>
      <c r="B6" s="12">
        <v>3.4</v>
      </c>
      <c r="C6" s="16">
        <v>1</v>
      </c>
      <c r="E6" t="s">
        <v>78</v>
      </c>
      <c r="F6" s="12">
        <f>(2.14+2.32+2.22+1.76+2.3+2.05+2.71+0.8+2.76+0.75+3.12+2.59+3+3.26+3.02+2.71+2.43+2.54+2.28)/19</f>
        <v>2.3557894736842107</v>
      </c>
      <c r="G6" s="16">
        <v>19</v>
      </c>
      <c r="I6" s="1" t="s">
        <v>80</v>
      </c>
      <c r="J6" s="2">
        <v>3.08</v>
      </c>
    </row>
    <row r="7" spans="1:10" x14ac:dyDescent="0.2">
      <c r="A7" t="s">
        <v>76</v>
      </c>
      <c r="B7" s="9" t="s">
        <v>117</v>
      </c>
      <c r="C7" s="14">
        <v>0</v>
      </c>
      <c r="E7" t="s">
        <v>75</v>
      </c>
      <c r="F7" s="9">
        <v>1.76</v>
      </c>
      <c r="G7" s="14">
        <v>1</v>
      </c>
      <c r="I7" s="1" t="s">
        <v>77</v>
      </c>
      <c r="J7" s="2">
        <v>3.17</v>
      </c>
    </row>
    <row r="8" spans="1:10" x14ac:dyDescent="0.2">
      <c r="A8" t="s">
        <v>73</v>
      </c>
      <c r="B8" s="9">
        <f>(2.57+1.83+2.6+0.11+2.33)/5</f>
        <v>1.8880000000000003</v>
      </c>
      <c r="C8" s="14">
        <v>5</v>
      </c>
      <c r="E8" t="s">
        <v>72</v>
      </c>
      <c r="F8" s="9">
        <f>(0+2.49+1.94+2.42+3.43+2.39+1.51+3.8)/8</f>
        <v>2.2475000000000001</v>
      </c>
      <c r="G8" s="14">
        <v>8</v>
      </c>
      <c r="I8" s="1" t="s">
        <v>95</v>
      </c>
      <c r="J8" s="2">
        <v>3.71</v>
      </c>
    </row>
    <row r="9" spans="1:10" x14ac:dyDescent="0.2">
      <c r="A9" t="s">
        <v>71</v>
      </c>
      <c r="B9" s="12" t="s">
        <v>117</v>
      </c>
      <c r="C9" s="16">
        <v>0</v>
      </c>
      <c r="E9" t="s">
        <v>70</v>
      </c>
      <c r="F9" s="12">
        <f>(2.9+2.27+2.19+2.82)/4</f>
        <v>2.5449999999999999</v>
      </c>
      <c r="G9" s="16">
        <v>4</v>
      </c>
      <c r="I9" s="1" t="s">
        <v>96</v>
      </c>
      <c r="J9" s="2">
        <v>3.95</v>
      </c>
    </row>
    <row r="10" spans="1:10" x14ac:dyDescent="0.2">
      <c r="A10" t="s">
        <v>69</v>
      </c>
      <c r="B10" s="12">
        <v>2.98</v>
      </c>
      <c r="C10" s="16">
        <v>1</v>
      </c>
      <c r="E10" t="s">
        <v>68</v>
      </c>
      <c r="F10" s="12">
        <f>(0.35+2.14+2.42+3.42+3.11)/5</f>
        <v>2.2879999999999998</v>
      </c>
      <c r="G10" s="16">
        <v>5</v>
      </c>
      <c r="I10" s="1" t="s">
        <v>97</v>
      </c>
      <c r="J10" s="2">
        <v>3.81</v>
      </c>
    </row>
    <row r="11" spans="1:10" x14ac:dyDescent="0.2">
      <c r="A11" t="s">
        <v>66</v>
      </c>
      <c r="B11" s="9">
        <f>(2.24+2.39)/2</f>
        <v>2.3150000000000004</v>
      </c>
      <c r="C11" s="14">
        <v>2</v>
      </c>
      <c r="E11" t="s">
        <v>65</v>
      </c>
      <c r="F11" s="9">
        <f>(2.08+2.12+2.27+2.23+0.68+2.49+2.59+2.23+2.36+1.9)/10</f>
        <v>2.0949999999999998</v>
      </c>
      <c r="G11" s="14">
        <v>10</v>
      </c>
      <c r="I11" s="1" t="s">
        <v>74</v>
      </c>
      <c r="J11" s="2">
        <v>3.76</v>
      </c>
    </row>
    <row r="12" spans="1:10" x14ac:dyDescent="0.2">
      <c r="A12" t="s">
        <v>63</v>
      </c>
      <c r="B12" s="9" t="s">
        <v>117</v>
      </c>
      <c r="C12" s="14">
        <v>0</v>
      </c>
      <c r="E12" t="s">
        <v>62</v>
      </c>
      <c r="F12" s="9" t="s">
        <v>117</v>
      </c>
      <c r="G12" s="14">
        <v>0</v>
      </c>
      <c r="I12" s="1" t="s">
        <v>98</v>
      </c>
      <c r="J12" s="2">
        <v>3.74</v>
      </c>
    </row>
    <row r="13" spans="1:10" x14ac:dyDescent="0.2">
      <c r="A13" t="s">
        <v>61</v>
      </c>
      <c r="B13" s="12" t="s">
        <v>117</v>
      </c>
      <c r="C13" s="16">
        <v>0</v>
      </c>
      <c r="E13" t="s">
        <v>60</v>
      </c>
      <c r="F13" s="12" t="s">
        <v>117</v>
      </c>
      <c r="G13" s="16">
        <v>0</v>
      </c>
      <c r="I13" s="1" t="s">
        <v>99</v>
      </c>
      <c r="J13" s="2">
        <v>2.77</v>
      </c>
    </row>
    <row r="14" spans="1:10" x14ac:dyDescent="0.2">
      <c r="A14" t="s">
        <v>59</v>
      </c>
      <c r="B14" s="12">
        <v>3.62</v>
      </c>
      <c r="C14" s="16">
        <v>1</v>
      </c>
      <c r="E14" t="s">
        <v>58</v>
      </c>
      <c r="F14" s="12">
        <f>(2.51+2.27+2.11+2.13+2.04+2.15+2.12+2.01+2.43+2.17+2.03+2.52+1.75+2.22+2.23+2.48+1.95+2.3+2.45+2.07+2.39)/21</f>
        <v>2.2061904761904763</v>
      </c>
      <c r="G14" s="16">
        <v>21</v>
      </c>
      <c r="I14" s="1" t="s">
        <v>100</v>
      </c>
      <c r="J14" s="2">
        <v>3.83</v>
      </c>
    </row>
    <row r="15" spans="1:10" x14ac:dyDescent="0.2">
      <c r="A15" t="s">
        <v>57</v>
      </c>
      <c r="B15" s="9">
        <v>3.64</v>
      </c>
      <c r="C15" s="14">
        <v>1</v>
      </c>
      <c r="E15" t="s">
        <v>56</v>
      </c>
      <c r="F15" s="9" t="s">
        <v>117</v>
      </c>
      <c r="G15" s="14">
        <v>0</v>
      </c>
      <c r="I15" s="1" t="s">
        <v>101</v>
      </c>
      <c r="J15" s="2">
        <v>3.61</v>
      </c>
    </row>
    <row r="16" spans="1:10" x14ac:dyDescent="0.2">
      <c r="A16" t="s">
        <v>54</v>
      </c>
      <c r="B16" s="9">
        <f>(5.15+5.9+3.78)/3</f>
        <v>4.9433333333333334</v>
      </c>
      <c r="C16" s="14">
        <v>3</v>
      </c>
      <c r="E16" t="s">
        <v>53</v>
      </c>
      <c r="F16" s="9">
        <v>2.1</v>
      </c>
      <c r="G16" s="14">
        <v>1</v>
      </c>
      <c r="I16" s="1" t="s">
        <v>102</v>
      </c>
      <c r="J16" s="2">
        <v>2.82</v>
      </c>
    </row>
    <row r="17" spans="1:10" x14ac:dyDescent="0.2">
      <c r="A17" t="s">
        <v>52</v>
      </c>
      <c r="B17" s="12">
        <v>3.75</v>
      </c>
      <c r="C17" s="16">
        <v>1</v>
      </c>
      <c r="E17" t="s">
        <v>51</v>
      </c>
      <c r="F17" s="12">
        <f>(4.1+1.7+2.86+2.85+1.81+2.01+2.34+2.37+2.88+3.19)/10</f>
        <v>2.6110000000000002</v>
      </c>
      <c r="G17" s="16">
        <v>10</v>
      </c>
      <c r="I17" s="1" t="s">
        <v>103</v>
      </c>
      <c r="J17" s="2">
        <v>2.5</v>
      </c>
    </row>
    <row r="18" spans="1:10" x14ac:dyDescent="0.2">
      <c r="A18" t="s">
        <v>49</v>
      </c>
      <c r="B18" s="12" t="s">
        <v>117</v>
      </c>
      <c r="C18" s="16">
        <v>0</v>
      </c>
      <c r="E18" t="s">
        <v>48</v>
      </c>
      <c r="F18" s="12">
        <f>(2.95+2.96+3.84+2.35+4.63+5.46+0.58+2.9+2.36+5.49+5.43+5.06+3.12+4.82+3.14+2.77+2.86+4.26+2.97+0.28+4.04+5.31+3.92+3.71+2.53)/25</f>
        <v>3.5096000000000003</v>
      </c>
      <c r="G18" s="16">
        <v>25</v>
      </c>
      <c r="I18" s="1" t="s">
        <v>67</v>
      </c>
      <c r="J18" s="2">
        <v>3.85</v>
      </c>
    </row>
    <row r="19" spans="1:10" x14ac:dyDescent="0.2">
      <c r="A19" t="s">
        <v>46</v>
      </c>
      <c r="B19" s="13" t="s">
        <v>117</v>
      </c>
      <c r="C19" s="19">
        <v>0</v>
      </c>
      <c r="E19" t="s">
        <v>45</v>
      </c>
      <c r="F19" s="9">
        <f>(2.39+1.12+1.27)/3</f>
        <v>1.5933333333333335</v>
      </c>
      <c r="G19" s="14">
        <v>3</v>
      </c>
      <c r="I19" s="1" t="s">
        <v>64</v>
      </c>
      <c r="J19" s="2">
        <v>3.53</v>
      </c>
    </row>
    <row r="20" spans="1:10" x14ac:dyDescent="0.2">
      <c r="A20" t="s">
        <v>43</v>
      </c>
      <c r="B20" s="13">
        <f>(2.73+2.09+2.09+2.39+2.39+2.21)/6</f>
        <v>2.3166666666666669</v>
      </c>
      <c r="C20" s="19">
        <v>6</v>
      </c>
      <c r="E20" t="s">
        <v>42</v>
      </c>
      <c r="F20" s="9">
        <f>(2.31+2.66+2.56+2.33)/4</f>
        <v>2.4650000000000003</v>
      </c>
      <c r="G20" s="14">
        <v>4</v>
      </c>
      <c r="I20" s="1" t="s">
        <v>104</v>
      </c>
      <c r="J20" s="2">
        <v>2.96</v>
      </c>
    </row>
    <row r="21" spans="1:10" x14ac:dyDescent="0.2">
      <c r="A21" t="s">
        <v>40</v>
      </c>
      <c r="B21" s="12" t="s">
        <v>117</v>
      </c>
      <c r="C21" s="16">
        <v>0</v>
      </c>
      <c r="E21" t="s">
        <v>39</v>
      </c>
      <c r="F21" s="12">
        <f>(2.41+2.21+2.28+2.6+3.29+1.9)/6</f>
        <v>2.4483333333333333</v>
      </c>
      <c r="G21" s="16">
        <v>6</v>
      </c>
      <c r="I21" s="1" t="s">
        <v>105</v>
      </c>
      <c r="J21" s="2">
        <v>3.55</v>
      </c>
    </row>
    <row r="22" spans="1:10" x14ac:dyDescent="0.2">
      <c r="A22" t="s">
        <v>37</v>
      </c>
      <c r="B22" s="12" t="s">
        <v>117</v>
      </c>
      <c r="C22" s="16">
        <v>0</v>
      </c>
      <c r="E22" t="s">
        <v>36</v>
      </c>
      <c r="F22" s="12" t="s">
        <v>117</v>
      </c>
      <c r="G22" s="16">
        <v>0</v>
      </c>
      <c r="I22" s="1" t="s">
        <v>10</v>
      </c>
      <c r="J22" s="2">
        <v>3.63</v>
      </c>
    </row>
    <row r="23" spans="1:10" x14ac:dyDescent="0.2">
      <c r="A23" t="s">
        <v>35</v>
      </c>
      <c r="B23" s="9">
        <v>2.33</v>
      </c>
      <c r="C23" s="14">
        <v>1</v>
      </c>
      <c r="E23" t="s">
        <v>34</v>
      </c>
      <c r="F23" s="9" t="s">
        <v>117</v>
      </c>
      <c r="G23" s="14">
        <v>0</v>
      </c>
      <c r="I23" s="1" t="s">
        <v>115</v>
      </c>
      <c r="J23" s="2">
        <v>3.52</v>
      </c>
    </row>
    <row r="24" spans="1:10" x14ac:dyDescent="0.2">
      <c r="A24" t="s">
        <v>32</v>
      </c>
      <c r="B24" s="9" t="s">
        <v>117</v>
      </c>
      <c r="C24" s="14">
        <v>0</v>
      </c>
      <c r="E24" t="s">
        <v>31</v>
      </c>
      <c r="F24" s="9" t="s">
        <v>117</v>
      </c>
      <c r="G24" s="14">
        <v>0</v>
      </c>
      <c r="I24" s="1" t="s">
        <v>106</v>
      </c>
      <c r="J24" s="2">
        <v>3.64</v>
      </c>
    </row>
    <row r="25" spans="1:10" x14ac:dyDescent="0.2">
      <c r="A25" t="s">
        <v>29</v>
      </c>
      <c r="B25" s="12">
        <f>(2.5+3.08+2.66)/3</f>
        <v>2.7466666666666666</v>
      </c>
      <c r="C25" s="16">
        <v>3</v>
      </c>
      <c r="E25" t="s">
        <v>28</v>
      </c>
      <c r="F25" s="12">
        <v>2.9</v>
      </c>
      <c r="G25" s="16">
        <v>1</v>
      </c>
      <c r="I25" s="1" t="s">
        <v>55</v>
      </c>
      <c r="J25" s="2">
        <v>4.1500000000000004</v>
      </c>
    </row>
    <row r="26" spans="1:10" x14ac:dyDescent="0.2">
      <c r="A26" t="s">
        <v>26</v>
      </c>
      <c r="B26" s="12" t="s">
        <v>117</v>
      </c>
      <c r="C26" s="16">
        <v>0</v>
      </c>
      <c r="E26" t="s">
        <v>25</v>
      </c>
      <c r="F26" s="12">
        <f>(3.32+2.2)/2</f>
        <v>2.76</v>
      </c>
      <c r="G26" s="16">
        <v>2</v>
      </c>
      <c r="I26" s="1" t="s">
        <v>116</v>
      </c>
      <c r="J26" s="2">
        <v>3.83</v>
      </c>
    </row>
    <row r="27" spans="1:10" x14ac:dyDescent="0.2">
      <c r="A27" t="s">
        <v>23</v>
      </c>
      <c r="B27" s="9">
        <v>3.78</v>
      </c>
      <c r="C27" s="14">
        <v>1</v>
      </c>
      <c r="E27" t="s">
        <v>22</v>
      </c>
      <c r="F27" s="9">
        <f>(2.58+3.47+2.67+3.2+2.83+3.13)/6</f>
        <v>2.9800000000000004</v>
      </c>
      <c r="G27" s="14">
        <v>6</v>
      </c>
      <c r="I27" s="1" t="s">
        <v>107</v>
      </c>
      <c r="J27" s="2">
        <v>3.45</v>
      </c>
    </row>
    <row r="28" spans="1:10" x14ac:dyDescent="0.2">
      <c r="A28" t="s">
        <v>20</v>
      </c>
      <c r="B28" s="9">
        <f>(3.43+3.03+2.44+2.26+1.8+2.98+2.99)/7</f>
        <v>2.7042857142857142</v>
      </c>
      <c r="C28" s="14">
        <v>7</v>
      </c>
      <c r="E28" t="s">
        <v>19</v>
      </c>
      <c r="F28" s="9">
        <f>(0.14+4.43+2.75+2.67+3.32+3.3+4.42+3.63+2.67+3.46+6.76+3.52+3.63+3.31+3.65)/15</f>
        <v>3.4440000000000004</v>
      </c>
      <c r="G28" s="14">
        <v>15</v>
      </c>
      <c r="I28" s="1" t="s">
        <v>50</v>
      </c>
      <c r="J28" s="2">
        <v>3.4</v>
      </c>
    </row>
    <row r="29" spans="1:10" x14ac:dyDescent="0.2">
      <c r="A29" t="s">
        <v>17</v>
      </c>
      <c r="B29" s="12">
        <f>(3.2+2.43+3.03+3.23+2.82)/5</f>
        <v>2.9420000000000002</v>
      </c>
      <c r="C29" s="16">
        <v>5</v>
      </c>
      <c r="E29" t="s">
        <v>16</v>
      </c>
      <c r="F29" s="12" t="s">
        <v>117</v>
      </c>
      <c r="G29" s="16">
        <v>0</v>
      </c>
      <c r="I29" s="1" t="s">
        <v>47</v>
      </c>
      <c r="J29" s="2">
        <v>4</v>
      </c>
    </row>
    <row r="30" spans="1:10" x14ac:dyDescent="0.2">
      <c r="A30" t="s">
        <v>14</v>
      </c>
      <c r="B30" s="12">
        <f>(1.14+0.97)/2</f>
        <v>1.0549999999999999</v>
      </c>
      <c r="C30" s="16">
        <v>2</v>
      </c>
      <c r="E30" t="s">
        <v>13</v>
      </c>
      <c r="F30" s="12">
        <f>(2.64+2.67)/2</f>
        <v>2.6550000000000002</v>
      </c>
      <c r="G30" s="16">
        <v>2</v>
      </c>
      <c r="I30" s="1" t="s">
        <v>44</v>
      </c>
      <c r="J30" s="2">
        <v>3.28</v>
      </c>
    </row>
    <row r="31" spans="1:10" x14ac:dyDescent="0.2">
      <c r="A31" t="s">
        <v>12</v>
      </c>
      <c r="B31" s="9">
        <v>2.41</v>
      </c>
      <c r="C31" s="14">
        <v>1</v>
      </c>
      <c r="E31" t="s">
        <v>11</v>
      </c>
      <c r="F31" s="9">
        <v>3.22</v>
      </c>
      <c r="G31" s="14">
        <v>1</v>
      </c>
      <c r="I31" s="1" t="s">
        <v>41</v>
      </c>
      <c r="J31" s="2">
        <v>3.73</v>
      </c>
    </row>
    <row r="32" spans="1:10" x14ac:dyDescent="0.2">
      <c r="A32" t="s">
        <v>10</v>
      </c>
      <c r="B32" s="9" t="s">
        <v>117</v>
      </c>
      <c r="C32" s="14">
        <v>0</v>
      </c>
      <c r="E32" t="s">
        <v>9</v>
      </c>
      <c r="F32" s="9">
        <f>(3.48+2.03+3.77+2.01+2.54)/5</f>
        <v>2.7659999999999996</v>
      </c>
      <c r="G32" s="14">
        <v>5</v>
      </c>
      <c r="I32" s="1" t="s">
        <v>38</v>
      </c>
      <c r="J32" s="2">
        <v>2.9</v>
      </c>
    </row>
    <row r="33" spans="1:10" x14ac:dyDescent="0.2">
      <c r="A33" t="s">
        <v>8</v>
      </c>
      <c r="B33" s="12" t="s">
        <v>117</v>
      </c>
      <c r="C33" s="16">
        <v>0</v>
      </c>
      <c r="E33" t="s">
        <v>7</v>
      </c>
      <c r="F33" s="12">
        <f>(4.25+4.37)/2</f>
        <v>4.3100000000000005</v>
      </c>
      <c r="G33" s="16">
        <v>2</v>
      </c>
      <c r="I33" s="1" t="s">
        <v>108</v>
      </c>
      <c r="J33" s="2">
        <v>3.07</v>
      </c>
    </row>
    <row r="34" spans="1:10" x14ac:dyDescent="0.2">
      <c r="A34" t="s">
        <v>6</v>
      </c>
      <c r="B34" s="12" t="s">
        <v>117</v>
      </c>
      <c r="C34" s="16">
        <v>0</v>
      </c>
      <c r="E34" t="s">
        <v>5</v>
      </c>
      <c r="F34" s="12">
        <v>3.66</v>
      </c>
      <c r="G34" s="16">
        <v>1</v>
      </c>
      <c r="I34" s="1" t="s">
        <v>109</v>
      </c>
      <c r="J34" s="2">
        <v>3.92</v>
      </c>
    </row>
    <row r="35" spans="1:10" x14ac:dyDescent="0.2">
      <c r="A35" t="s">
        <v>4</v>
      </c>
      <c r="B35" s="9" t="s">
        <v>117</v>
      </c>
      <c r="C35" s="14">
        <v>0</v>
      </c>
      <c r="E35" t="s">
        <v>3</v>
      </c>
      <c r="F35" s="9">
        <f>(2.82+3.71)/2</f>
        <v>3.2649999999999997</v>
      </c>
      <c r="G35" s="14">
        <v>2</v>
      </c>
      <c r="I35" s="1" t="s">
        <v>110</v>
      </c>
      <c r="J35" s="2">
        <v>3.5</v>
      </c>
    </row>
    <row r="36" spans="1:10" x14ac:dyDescent="0.2">
      <c r="A36" t="s">
        <v>2</v>
      </c>
      <c r="B36" s="9" t="s">
        <v>117</v>
      </c>
      <c r="C36" s="14">
        <v>0</v>
      </c>
      <c r="E36" t="s">
        <v>1</v>
      </c>
      <c r="F36" s="9">
        <f>(4.19+2.93+2.95)/3</f>
        <v>3.3566666666666669</v>
      </c>
      <c r="G36" s="14">
        <v>3</v>
      </c>
      <c r="I36" s="1" t="s">
        <v>111</v>
      </c>
      <c r="J36" s="2">
        <v>3.06</v>
      </c>
    </row>
    <row r="37" spans="1:10" x14ac:dyDescent="0.2">
      <c r="A37" t="s">
        <v>0</v>
      </c>
      <c r="B37" s="12" t="s">
        <v>117</v>
      </c>
      <c r="C37" s="16">
        <v>0</v>
      </c>
      <c r="I37" s="1" t="s">
        <v>33</v>
      </c>
      <c r="J37" s="2">
        <v>3.3</v>
      </c>
    </row>
    <row r="38" spans="1:10" x14ac:dyDescent="0.2">
      <c r="I38" s="1" t="s">
        <v>30</v>
      </c>
      <c r="J38" s="2">
        <v>2.86</v>
      </c>
    </row>
    <row r="39" spans="1:10" x14ac:dyDescent="0.2">
      <c r="I39" s="1" t="s">
        <v>27</v>
      </c>
      <c r="J39" s="2">
        <v>2.89</v>
      </c>
    </row>
    <row r="40" spans="1:10" x14ac:dyDescent="0.2">
      <c r="I40" s="1" t="s">
        <v>24</v>
      </c>
      <c r="J40" s="2">
        <v>3.47</v>
      </c>
    </row>
    <row r="41" spans="1:10" x14ac:dyDescent="0.2">
      <c r="I41" s="1" t="s">
        <v>21</v>
      </c>
      <c r="J41" s="2">
        <v>3.06</v>
      </c>
    </row>
    <row r="42" spans="1:10" x14ac:dyDescent="0.2">
      <c r="I42" s="1" t="s">
        <v>113</v>
      </c>
      <c r="J42" s="2">
        <v>3.32</v>
      </c>
    </row>
    <row r="43" spans="1:10" x14ac:dyDescent="0.2">
      <c r="I43" s="1" t="s">
        <v>18</v>
      </c>
      <c r="J43" s="2">
        <v>3.76</v>
      </c>
    </row>
    <row r="44" spans="1:10" x14ac:dyDescent="0.2">
      <c r="I44" s="1" t="s">
        <v>112</v>
      </c>
      <c r="J44" s="2">
        <v>3.56</v>
      </c>
    </row>
    <row r="45" spans="1:10" x14ac:dyDescent="0.2">
      <c r="I45" s="1" t="s">
        <v>15</v>
      </c>
      <c r="J45" s="2">
        <v>2.9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5"/>
  <sheetViews>
    <sheetView tabSelected="1" workbookViewId="0">
      <selection activeCell="M55" sqref="M55"/>
    </sheetView>
  </sheetViews>
  <sheetFormatPr baseColWidth="10" defaultColWidth="8.83203125" defaultRowHeight="15" x14ac:dyDescent="0.2"/>
  <cols>
    <col min="1" max="1" width="10.5" bestFit="1" customWidth="1"/>
    <col min="5" max="5" width="12.5" bestFit="1" customWidth="1"/>
    <col min="9" max="9" width="13.5" bestFit="1" customWidth="1"/>
  </cols>
  <sheetData>
    <row r="1" spans="1:10" s="34" customFormat="1" ht="19" x14ac:dyDescent="0.25">
      <c r="A1" s="33" t="s">
        <v>88</v>
      </c>
      <c r="B1" s="33"/>
      <c r="C1" s="33"/>
      <c r="D1" s="33"/>
      <c r="E1" s="33"/>
      <c r="F1" s="33"/>
      <c r="G1" s="33"/>
      <c r="H1" s="33"/>
    </row>
    <row r="2" spans="1:10" s="34" customFormat="1" ht="19" x14ac:dyDescent="0.25">
      <c r="A2" s="35" t="s">
        <v>134</v>
      </c>
      <c r="B2" s="35"/>
      <c r="C2" s="35"/>
      <c r="D2" s="35"/>
      <c r="E2" s="35"/>
      <c r="F2" s="35"/>
      <c r="G2" s="35"/>
      <c r="H2" s="35"/>
    </row>
    <row r="3" spans="1:10" ht="48" x14ac:dyDescent="0.2">
      <c r="B3" s="36" t="s">
        <v>87</v>
      </c>
      <c r="C3" s="37" t="s">
        <v>86</v>
      </c>
      <c r="D3" s="32"/>
      <c r="E3" s="32"/>
      <c r="F3" s="36" t="s">
        <v>87</v>
      </c>
      <c r="G3" s="37" t="s">
        <v>86</v>
      </c>
      <c r="H3" s="32"/>
      <c r="I3" s="38" t="s">
        <v>93</v>
      </c>
    </row>
    <row r="4" spans="1:10" x14ac:dyDescent="0.2">
      <c r="A4" s="32" t="s">
        <v>85</v>
      </c>
      <c r="B4" s="9">
        <f>(1.8+4.44)/2</f>
        <v>3.12</v>
      </c>
      <c r="C4" s="14">
        <v>2</v>
      </c>
      <c r="E4" s="32" t="s">
        <v>84</v>
      </c>
      <c r="F4" s="9">
        <f>(3.27+3.21)/2</f>
        <v>3.24</v>
      </c>
      <c r="G4" s="14">
        <v>2</v>
      </c>
      <c r="I4" s="39" t="s">
        <v>83</v>
      </c>
      <c r="J4" s="2">
        <v>4.6100000000000003</v>
      </c>
    </row>
    <row r="5" spans="1:10" x14ac:dyDescent="0.2">
      <c r="A5" s="32" t="s">
        <v>82</v>
      </c>
      <c r="B5" s="12">
        <f>(6.51+6.85+2.42+7.03+6.79+3.12+6.52+5+6.9+3.29+6.42+6.02+6.29+6.58+4.98+6.8+6.01+3.22+1.26+2.48+2.38+1.72+3.02+2.93+7.64+4.6+6.24+3.4+3.84+2.98+4.91+7.84+4.01+5.35)/34</f>
        <v>4.8632352941176471</v>
      </c>
      <c r="C5" s="16">
        <v>34</v>
      </c>
      <c r="E5" s="32" t="s">
        <v>81</v>
      </c>
      <c r="F5" s="12">
        <f>(6+4.98+5.08+6.34+6.33+3.37)/6</f>
        <v>5.3500000000000005</v>
      </c>
      <c r="G5" s="16">
        <v>6</v>
      </c>
      <c r="I5" s="39" t="s">
        <v>94</v>
      </c>
      <c r="J5" s="2">
        <v>4.93</v>
      </c>
    </row>
    <row r="6" spans="1:10" x14ac:dyDescent="0.2">
      <c r="A6" s="32" t="s">
        <v>79</v>
      </c>
      <c r="B6" s="12">
        <v>6.81</v>
      </c>
      <c r="C6" s="16">
        <v>1</v>
      </c>
      <c r="E6" s="32" t="s">
        <v>78</v>
      </c>
      <c r="F6" s="12">
        <f>(7+5.33+4.17+7.2+4.54+4.34+5.11+6.69+2.46+4.8+6.09+4.62+4.41+6.45+7.66+6.99+1.25+7.23+4.46+4.54)/20</f>
        <v>5.2669999999999995</v>
      </c>
      <c r="G6" s="16">
        <v>20</v>
      </c>
      <c r="I6" s="39" t="s">
        <v>80</v>
      </c>
      <c r="J6" s="2">
        <v>4.79</v>
      </c>
    </row>
    <row r="7" spans="1:10" x14ac:dyDescent="0.2">
      <c r="A7" s="32" t="s">
        <v>76</v>
      </c>
      <c r="B7" s="9" t="s">
        <v>117</v>
      </c>
      <c r="C7" s="14">
        <v>0</v>
      </c>
      <c r="E7" s="32" t="s">
        <v>75</v>
      </c>
      <c r="F7" s="9">
        <v>3.1</v>
      </c>
      <c r="G7" s="14">
        <v>1</v>
      </c>
      <c r="I7" s="39" t="s">
        <v>77</v>
      </c>
      <c r="J7" s="2">
        <v>4.84</v>
      </c>
    </row>
    <row r="8" spans="1:10" x14ac:dyDescent="0.2">
      <c r="A8" s="32" t="s">
        <v>73</v>
      </c>
      <c r="B8" s="9">
        <f>(7.46+5.31+5.79+6.86)/4</f>
        <v>6.3549999999999995</v>
      </c>
      <c r="C8" s="14">
        <v>4</v>
      </c>
      <c r="E8" s="32" t="s">
        <v>72</v>
      </c>
      <c r="F8" s="9">
        <f>(4.34+4.42+5.06+3.83+3.4+4.06+4.2+4.3+3.45)/9</f>
        <v>4.1177777777777775</v>
      </c>
      <c r="G8" s="14">
        <v>9</v>
      </c>
      <c r="I8" s="39" t="s">
        <v>95</v>
      </c>
      <c r="J8" s="2">
        <v>4.7300000000000004</v>
      </c>
    </row>
    <row r="9" spans="1:10" x14ac:dyDescent="0.2">
      <c r="A9" s="32" t="s">
        <v>71</v>
      </c>
      <c r="B9" s="12" t="s">
        <v>117</v>
      </c>
      <c r="C9" s="16">
        <v>0</v>
      </c>
      <c r="E9" s="32" t="s">
        <v>70</v>
      </c>
      <c r="F9" s="12">
        <f>(4.32+4.4+4.75)/3</f>
        <v>4.49</v>
      </c>
      <c r="G9" s="16">
        <v>3</v>
      </c>
      <c r="I9" s="39" t="s">
        <v>96</v>
      </c>
      <c r="J9" s="2">
        <v>5.14</v>
      </c>
    </row>
    <row r="10" spans="1:10" x14ac:dyDescent="0.2">
      <c r="A10" s="32" t="s">
        <v>69</v>
      </c>
      <c r="B10" s="12">
        <v>5.0999999999999996</v>
      </c>
      <c r="C10" s="16">
        <v>1</v>
      </c>
      <c r="E10" s="32" t="s">
        <v>68</v>
      </c>
      <c r="F10" s="12">
        <f>(5.44+6.17+6.02+7.78+8.47)/5</f>
        <v>6.7760000000000007</v>
      </c>
      <c r="G10" s="16">
        <v>5</v>
      </c>
      <c r="I10" s="39" t="s">
        <v>97</v>
      </c>
      <c r="J10" s="2">
        <v>5.0599999999999996</v>
      </c>
    </row>
    <row r="11" spans="1:10" x14ac:dyDescent="0.2">
      <c r="A11" s="32" t="s">
        <v>66</v>
      </c>
      <c r="B11" s="9">
        <f>(7.33+6.49)/2</f>
        <v>6.91</v>
      </c>
      <c r="C11" s="14">
        <v>2</v>
      </c>
      <c r="E11" s="32" t="s">
        <v>65</v>
      </c>
      <c r="F11" s="9">
        <f>(4.61+4.82+5.18+4.39+4.82+4.21+4.66+4.46+4.32+4.38)/10</f>
        <v>4.585</v>
      </c>
      <c r="G11" s="14">
        <v>10</v>
      </c>
      <c r="I11" s="39" t="s">
        <v>74</v>
      </c>
      <c r="J11" s="2">
        <v>5.2</v>
      </c>
    </row>
    <row r="12" spans="1:10" x14ac:dyDescent="0.2">
      <c r="A12" s="32" t="s">
        <v>63</v>
      </c>
      <c r="B12" s="9" t="s">
        <v>117</v>
      </c>
      <c r="C12" s="14">
        <v>0</v>
      </c>
      <c r="E12" s="32" t="s">
        <v>62</v>
      </c>
      <c r="F12" s="9" t="s">
        <v>117</v>
      </c>
      <c r="G12" s="14">
        <v>0</v>
      </c>
      <c r="I12" s="39" t="s">
        <v>98</v>
      </c>
      <c r="J12" s="2">
        <v>5.08</v>
      </c>
    </row>
    <row r="13" spans="1:10" x14ac:dyDescent="0.2">
      <c r="A13" s="32" t="s">
        <v>61</v>
      </c>
      <c r="B13" s="12" t="s">
        <v>117</v>
      </c>
      <c r="C13" s="16">
        <v>0</v>
      </c>
      <c r="E13" s="32" t="s">
        <v>60</v>
      </c>
      <c r="F13" s="12" t="s">
        <v>117</v>
      </c>
      <c r="G13" s="16">
        <v>0</v>
      </c>
      <c r="I13" s="39" t="s">
        <v>99</v>
      </c>
      <c r="J13" s="2">
        <v>5.04</v>
      </c>
    </row>
    <row r="14" spans="1:10" x14ac:dyDescent="0.2">
      <c r="A14" s="32" t="s">
        <v>59</v>
      </c>
      <c r="B14" s="12">
        <v>3.95</v>
      </c>
      <c r="C14" s="16">
        <v>1</v>
      </c>
      <c r="E14" s="32" t="s">
        <v>58</v>
      </c>
      <c r="F14" s="12">
        <f>(4.81+4.9+5.32+5.34+4.59+7.13+4.77+5.42+4.99+5.47+3.99+1.81+4.3+5.2+5.26+4.15+5.13+4.76+4.61+5.45+4.86+4.53)/22</f>
        <v>4.8540909090909103</v>
      </c>
      <c r="G14" s="16">
        <v>22</v>
      </c>
      <c r="I14" s="39" t="s">
        <v>100</v>
      </c>
      <c r="J14" s="2">
        <v>5.78</v>
      </c>
    </row>
    <row r="15" spans="1:10" x14ac:dyDescent="0.2">
      <c r="A15" s="32" t="s">
        <v>57</v>
      </c>
      <c r="B15" s="9">
        <v>5.56</v>
      </c>
      <c r="C15" s="14">
        <v>1</v>
      </c>
      <c r="E15" s="32" t="s">
        <v>56</v>
      </c>
      <c r="F15" s="9" t="s">
        <v>117</v>
      </c>
      <c r="G15" s="14">
        <v>0</v>
      </c>
      <c r="I15" s="39" t="s">
        <v>101</v>
      </c>
      <c r="J15" s="2">
        <v>5.78</v>
      </c>
    </row>
    <row r="16" spans="1:10" x14ac:dyDescent="0.2">
      <c r="A16" s="32" t="s">
        <v>54</v>
      </c>
      <c r="B16" s="9">
        <f>(4.73+5.56+5.36)/3</f>
        <v>5.2166666666666659</v>
      </c>
      <c r="C16" s="14">
        <v>3</v>
      </c>
      <c r="E16" s="32" t="s">
        <v>53</v>
      </c>
      <c r="F16" s="9">
        <v>5.26</v>
      </c>
      <c r="G16" s="14">
        <v>1</v>
      </c>
      <c r="I16" s="39" t="s">
        <v>102</v>
      </c>
      <c r="J16" s="2">
        <v>5.05</v>
      </c>
    </row>
    <row r="17" spans="1:10" x14ac:dyDescent="0.2">
      <c r="A17" s="32" t="s">
        <v>52</v>
      </c>
      <c r="B17" s="12">
        <v>5.52</v>
      </c>
      <c r="C17" s="16">
        <v>1</v>
      </c>
      <c r="E17" s="32" t="s">
        <v>51</v>
      </c>
      <c r="F17" s="12">
        <f>(4.35+4.03+4.83+4.41+4.46+3.59+4.45+3.47+3.9+4.9+2.83)/11</f>
        <v>4.1109090909090904</v>
      </c>
      <c r="G17" s="16">
        <v>11</v>
      </c>
      <c r="I17" s="39" t="s">
        <v>103</v>
      </c>
      <c r="J17" s="2">
        <v>4.03</v>
      </c>
    </row>
    <row r="18" spans="1:10" x14ac:dyDescent="0.2">
      <c r="A18" s="32" t="s">
        <v>49</v>
      </c>
      <c r="B18" s="12" t="s">
        <v>117</v>
      </c>
      <c r="C18" s="16">
        <v>0</v>
      </c>
      <c r="E18" s="32" t="s">
        <v>48</v>
      </c>
      <c r="F18" s="12">
        <f>(7.36+6.73+6.41+7.32+5.7+6.39+5.45+8.62+6.47+6.73+6.47+6.64+6.62+7.86+6.51+6.34+6.72+6.75+6.19+3.87+5.14+5.06+7.07)/23</f>
        <v>6.4530434782608692</v>
      </c>
      <c r="G18" s="16">
        <v>23</v>
      </c>
      <c r="I18" s="39" t="s">
        <v>67</v>
      </c>
      <c r="J18" s="2">
        <v>4.1399999999999997</v>
      </c>
    </row>
    <row r="19" spans="1:10" x14ac:dyDescent="0.2">
      <c r="A19" s="32" t="s">
        <v>46</v>
      </c>
      <c r="B19" s="13" t="s">
        <v>117</v>
      </c>
      <c r="C19" s="19">
        <v>0</v>
      </c>
      <c r="E19" s="32" t="s">
        <v>45</v>
      </c>
      <c r="F19" s="9">
        <f>(8.71+10.65+9.27)/3</f>
        <v>9.543333333333333</v>
      </c>
      <c r="G19" s="14">
        <v>3</v>
      </c>
      <c r="I19" s="39" t="s">
        <v>64</v>
      </c>
      <c r="J19" s="2">
        <v>4.63</v>
      </c>
    </row>
    <row r="20" spans="1:10" x14ac:dyDescent="0.2">
      <c r="A20" s="32" t="s">
        <v>43</v>
      </c>
      <c r="B20" s="13">
        <f>(5.52+4.84+5.55+5.46+4.92+4.9)/6</f>
        <v>5.1983333333333333</v>
      </c>
      <c r="C20" s="19">
        <v>6</v>
      </c>
      <c r="E20" s="32" t="s">
        <v>42</v>
      </c>
      <c r="F20" s="9">
        <f>(5.54+5.38+5.67+5.64)/4</f>
        <v>5.5575000000000001</v>
      </c>
      <c r="G20" s="14">
        <v>4</v>
      </c>
      <c r="I20" s="39" t="s">
        <v>104</v>
      </c>
      <c r="J20" s="2">
        <v>4.0999999999999996</v>
      </c>
    </row>
    <row r="21" spans="1:10" x14ac:dyDescent="0.2">
      <c r="A21" s="32" t="s">
        <v>40</v>
      </c>
      <c r="B21" s="12" t="s">
        <v>117</v>
      </c>
      <c r="C21" s="16">
        <v>0</v>
      </c>
      <c r="E21" s="32" t="s">
        <v>39</v>
      </c>
      <c r="F21" s="12">
        <f>(3.76+5.48+3.86+3.87+3.8+4.14)/6</f>
        <v>4.1516666666666664</v>
      </c>
      <c r="G21" s="16">
        <v>6</v>
      </c>
      <c r="I21" s="39" t="s">
        <v>105</v>
      </c>
      <c r="J21" s="2">
        <v>4.88</v>
      </c>
    </row>
    <row r="22" spans="1:10" x14ac:dyDescent="0.2">
      <c r="A22" s="32" t="s">
        <v>37</v>
      </c>
      <c r="B22" s="12" t="s">
        <v>117</v>
      </c>
      <c r="C22" s="16">
        <v>0</v>
      </c>
      <c r="E22" s="32" t="s">
        <v>36</v>
      </c>
      <c r="F22" s="12" t="s">
        <v>117</v>
      </c>
      <c r="G22" s="16">
        <v>0</v>
      </c>
      <c r="I22" s="39" t="s">
        <v>10</v>
      </c>
      <c r="J22" s="2">
        <v>4.8099999999999996</v>
      </c>
    </row>
    <row r="23" spans="1:10" x14ac:dyDescent="0.2">
      <c r="A23" s="32" t="s">
        <v>35</v>
      </c>
      <c r="B23" s="9">
        <v>6.83</v>
      </c>
      <c r="C23" s="14">
        <v>1</v>
      </c>
      <c r="E23" s="32" t="s">
        <v>34</v>
      </c>
      <c r="F23" s="9" t="s">
        <v>117</v>
      </c>
      <c r="G23" s="14">
        <v>0</v>
      </c>
      <c r="I23" s="39" t="s">
        <v>115</v>
      </c>
      <c r="J23" s="2">
        <v>5.24</v>
      </c>
    </row>
    <row r="24" spans="1:10" x14ac:dyDescent="0.2">
      <c r="A24" s="32" t="s">
        <v>32</v>
      </c>
      <c r="B24" s="9" t="s">
        <v>117</v>
      </c>
      <c r="C24" s="14">
        <v>0</v>
      </c>
      <c r="E24" s="32" t="s">
        <v>31</v>
      </c>
      <c r="F24" s="9" t="s">
        <v>117</v>
      </c>
      <c r="G24" s="14">
        <v>0</v>
      </c>
      <c r="I24" s="39" t="s">
        <v>106</v>
      </c>
      <c r="J24" s="2">
        <v>5.2</v>
      </c>
    </row>
    <row r="25" spans="1:10" x14ac:dyDescent="0.2">
      <c r="A25" s="32" t="s">
        <v>29</v>
      </c>
      <c r="B25" s="12">
        <f>(4.68+6.69+4.5)/3</f>
        <v>5.29</v>
      </c>
      <c r="C25" s="16">
        <v>3</v>
      </c>
      <c r="E25" s="32" t="s">
        <v>28</v>
      </c>
      <c r="F25" s="12">
        <v>5.07</v>
      </c>
      <c r="G25" s="16">
        <v>1</v>
      </c>
      <c r="I25" s="39" t="s">
        <v>55</v>
      </c>
      <c r="J25" s="2">
        <v>5.72</v>
      </c>
    </row>
    <row r="26" spans="1:10" x14ac:dyDescent="0.2">
      <c r="A26" s="32" t="s">
        <v>26</v>
      </c>
      <c r="B26" s="12" t="s">
        <v>117</v>
      </c>
      <c r="C26" s="16">
        <v>0</v>
      </c>
      <c r="E26" s="32" t="s">
        <v>25</v>
      </c>
      <c r="F26" s="12">
        <f>(3.4+6.69)/2</f>
        <v>5.0449999999999999</v>
      </c>
      <c r="G26" s="16">
        <v>2</v>
      </c>
      <c r="I26" s="39" t="s">
        <v>116</v>
      </c>
      <c r="J26" s="2">
        <v>5.2</v>
      </c>
    </row>
    <row r="27" spans="1:10" x14ac:dyDescent="0.2">
      <c r="A27" s="32" t="s">
        <v>23</v>
      </c>
      <c r="B27" s="9">
        <v>3.91</v>
      </c>
      <c r="C27" s="14">
        <v>1</v>
      </c>
      <c r="E27" s="32" t="s">
        <v>22</v>
      </c>
      <c r="F27" s="9">
        <f>(7.13+6.95+6.72+7.64+2.24+5.95)/6</f>
        <v>6.1050000000000004</v>
      </c>
      <c r="G27" s="14">
        <v>6</v>
      </c>
      <c r="I27" s="39" t="s">
        <v>107</v>
      </c>
      <c r="J27" s="2">
        <v>4.71</v>
      </c>
    </row>
    <row r="28" spans="1:10" x14ac:dyDescent="0.2">
      <c r="A28" s="32" t="s">
        <v>20</v>
      </c>
      <c r="B28" s="9">
        <f>(5.26+5.06+6.89+4.82+4.3+5.21+5)/7</f>
        <v>5.2200000000000006</v>
      </c>
      <c r="C28" s="14">
        <v>7</v>
      </c>
      <c r="E28" s="32" t="s">
        <v>19</v>
      </c>
      <c r="F28" s="9">
        <f>(2.18+5.64+6.9+4.26+0.41+4.64+6.42+7.04+7.58+5.01+6.79+4.26+5.9+8.06+5.41)/15</f>
        <v>5.3666666666666663</v>
      </c>
      <c r="G28" s="14">
        <v>15</v>
      </c>
      <c r="I28" s="39" t="s">
        <v>50</v>
      </c>
      <c r="J28" s="2">
        <v>4.7</v>
      </c>
    </row>
    <row r="29" spans="1:10" x14ac:dyDescent="0.2">
      <c r="A29" s="32" t="s">
        <v>17</v>
      </c>
      <c r="B29" s="12">
        <f>(5.84+4.72+5.24+4.73+4.3)/5</f>
        <v>4.9660000000000002</v>
      </c>
      <c r="C29" s="16">
        <v>5</v>
      </c>
      <c r="E29" s="32" t="s">
        <v>16</v>
      </c>
      <c r="F29" s="12" t="s">
        <v>117</v>
      </c>
      <c r="G29" s="16">
        <v>0</v>
      </c>
      <c r="I29" s="39" t="s">
        <v>47</v>
      </c>
      <c r="J29" s="2">
        <v>5.68</v>
      </c>
    </row>
    <row r="30" spans="1:10" x14ac:dyDescent="0.2">
      <c r="A30" s="32" t="s">
        <v>14</v>
      </c>
      <c r="B30" s="12">
        <f>(3.84+8.08)/2</f>
        <v>5.96</v>
      </c>
      <c r="C30" s="16">
        <v>2</v>
      </c>
      <c r="E30" s="32" t="s">
        <v>13</v>
      </c>
      <c r="F30" s="12">
        <f>(3.91+4.98)/2</f>
        <v>4.4450000000000003</v>
      </c>
      <c r="G30" s="16">
        <v>2</v>
      </c>
      <c r="I30" s="39" t="s">
        <v>44</v>
      </c>
      <c r="J30" s="2">
        <v>4.58</v>
      </c>
    </row>
    <row r="31" spans="1:10" x14ac:dyDescent="0.2">
      <c r="A31" s="32" t="s">
        <v>12</v>
      </c>
      <c r="B31" s="9">
        <f>(6.23+6.5)/2</f>
        <v>6.3650000000000002</v>
      </c>
      <c r="C31" s="14">
        <v>2</v>
      </c>
      <c r="E31" s="32" t="s">
        <v>11</v>
      </c>
      <c r="F31" s="9">
        <v>4.49</v>
      </c>
      <c r="G31" s="14">
        <v>1</v>
      </c>
      <c r="I31" s="39" t="s">
        <v>41</v>
      </c>
      <c r="J31" s="2">
        <v>4.83</v>
      </c>
    </row>
    <row r="32" spans="1:10" x14ac:dyDescent="0.2">
      <c r="A32" s="32" t="s">
        <v>10</v>
      </c>
      <c r="B32" s="9" t="s">
        <v>117</v>
      </c>
      <c r="C32" s="14">
        <v>0</v>
      </c>
      <c r="E32" s="32" t="s">
        <v>9</v>
      </c>
      <c r="F32" s="9">
        <f>(5.11+4.68+4.78+4.34+4.9)/5</f>
        <v>4.7620000000000005</v>
      </c>
      <c r="G32" s="14">
        <v>5</v>
      </c>
      <c r="I32" s="39" t="s">
        <v>38</v>
      </c>
      <c r="J32" s="2">
        <v>4.91</v>
      </c>
    </row>
    <row r="33" spans="1:10" x14ac:dyDescent="0.2">
      <c r="A33" s="32" t="s">
        <v>8</v>
      </c>
      <c r="B33" s="12" t="s">
        <v>117</v>
      </c>
      <c r="C33" s="16">
        <v>0</v>
      </c>
      <c r="E33" s="32" t="s">
        <v>7</v>
      </c>
      <c r="F33" s="12">
        <f>(6.78+6.16)/2</f>
        <v>6.4700000000000006</v>
      </c>
      <c r="G33" s="16">
        <v>2</v>
      </c>
      <c r="I33" s="39" t="s">
        <v>108</v>
      </c>
      <c r="J33" s="2">
        <v>4.91</v>
      </c>
    </row>
    <row r="34" spans="1:10" x14ac:dyDescent="0.2">
      <c r="A34" s="32" t="s">
        <v>6</v>
      </c>
      <c r="B34" s="12" t="s">
        <v>117</v>
      </c>
      <c r="C34" s="16">
        <v>0</v>
      </c>
      <c r="E34" s="32" t="s">
        <v>5</v>
      </c>
      <c r="F34" s="12">
        <v>7.23</v>
      </c>
      <c r="G34" s="16">
        <v>1</v>
      </c>
      <c r="I34" s="39" t="s">
        <v>109</v>
      </c>
      <c r="J34" s="2">
        <v>5.12</v>
      </c>
    </row>
    <row r="35" spans="1:10" x14ac:dyDescent="0.2">
      <c r="A35" s="32" t="s">
        <v>4</v>
      </c>
      <c r="B35" s="9" t="s">
        <v>117</v>
      </c>
      <c r="C35" s="14">
        <v>0</v>
      </c>
      <c r="E35" s="32" t="s">
        <v>3</v>
      </c>
      <c r="F35" s="9">
        <f>(4.29+4.97)/2</f>
        <v>4.63</v>
      </c>
      <c r="G35" s="14">
        <v>2</v>
      </c>
      <c r="I35" s="39" t="s">
        <v>110</v>
      </c>
      <c r="J35" s="2">
        <v>4.9000000000000004</v>
      </c>
    </row>
    <row r="36" spans="1:10" x14ac:dyDescent="0.2">
      <c r="A36" s="32" t="s">
        <v>2</v>
      </c>
      <c r="B36" s="9" t="s">
        <v>117</v>
      </c>
      <c r="C36" s="14">
        <v>0</v>
      </c>
      <c r="E36" s="32" t="s">
        <v>1</v>
      </c>
      <c r="F36" s="9">
        <f>(4.39+2.98+4.59)/3</f>
        <v>3.9866666666666664</v>
      </c>
      <c r="G36" s="14">
        <v>3</v>
      </c>
      <c r="I36" s="39" t="s">
        <v>111</v>
      </c>
      <c r="J36" s="2">
        <v>4.34</v>
      </c>
    </row>
    <row r="37" spans="1:10" x14ac:dyDescent="0.2">
      <c r="A37" s="32" t="s">
        <v>0</v>
      </c>
      <c r="B37" s="12" t="s">
        <v>117</v>
      </c>
      <c r="C37" s="16">
        <v>0</v>
      </c>
      <c r="I37" s="39" t="s">
        <v>33</v>
      </c>
      <c r="J37" s="2">
        <v>5</v>
      </c>
    </row>
    <row r="38" spans="1:10" x14ac:dyDescent="0.2">
      <c r="I38" s="39" t="s">
        <v>30</v>
      </c>
      <c r="J38" s="2">
        <v>4.51</v>
      </c>
    </row>
    <row r="39" spans="1:10" x14ac:dyDescent="0.2">
      <c r="I39" s="39" t="s">
        <v>27</v>
      </c>
      <c r="J39" s="2">
        <v>5.05</v>
      </c>
    </row>
    <row r="40" spans="1:10" x14ac:dyDescent="0.2">
      <c r="I40" s="39" t="s">
        <v>24</v>
      </c>
      <c r="J40" s="2">
        <v>4.8</v>
      </c>
    </row>
    <row r="41" spans="1:10" x14ac:dyDescent="0.2">
      <c r="I41" s="39" t="s">
        <v>21</v>
      </c>
      <c r="J41" s="2">
        <v>5.0599999999999996</v>
      </c>
    </row>
    <row r="42" spans="1:10" x14ac:dyDescent="0.2">
      <c r="I42" s="39" t="s">
        <v>113</v>
      </c>
      <c r="J42" s="2">
        <v>4.9000000000000004</v>
      </c>
    </row>
    <row r="43" spans="1:10" x14ac:dyDescent="0.2">
      <c r="I43" s="39" t="s">
        <v>18</v>
      </c>
      <c r="J43" s="2">
        <v>5.48</v>
      </c>
    </row>
    <row r="44" spans="1:10" x14ac:dyDescent="0.2">
      <c r="I44" s="39" t="s">
        <v>112</v>
      </c>
      <c r="J44" s="2">
        <v>4.92</v>
      </c>
    </row>
    <row r="45" spans="1:10" x14ac:dyDescent="0.2">
      <c r="I45" s="39" t="s">
        <v>15</v>
      </c>
      <c r="J45" s="2">
        <v>4.2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5"/>
  <sheetViews>
    <sheetView topLeftCell="A7" zoomScaleNormal="100" workbookViewId="0">
      <selection activeCell="F37" sqref="F37"/>
    </sheetView>
  </sheetViews>
  <sheetFormatPr baseColWidth="10" defaultColWidth="8.83203125" defaultRowHeight="15" x14ac:dyDescent="0.2"/>
  <cols>
    <col min="1" max="1" width="10.5" bestFit="1" customWidth="1"/>
    <col min="5" max="5" width="12.5" bestFit="1" customWidth="1"/>
    <col min="9" max="9" width="13.5" bestFit="1" customWidth="1"/>
  </cols>
  <sheetData>
    <row r="1" spans="1:10" x14ac:dyDescent="0.2">
      <c r="A1" s="28" t="s">
        <v>88</v>
      </c>
      <c r="B1" s="28"/>
      <c r="C1" s="28"/>
      <c r="D1" s="28"/>
      <c r="E1" s="28"/>
      <c r="F1" s="28"/>
      <c r="G1" s="28"/>
      <c r="H1" s="28"/>
    </row>
    <row r="2" spans="1:10" x14ac:dyDescent="0.2">
      <c r="A2" s="29" t="s">
        <v>122</v>
      </c>
      <c r="B2" s="29"/>
      <c r="C2" s="29"/>
      <c r="D2" s="29"/>
      <c r="E2" s="29"/>
      <c r="F2" s="29"/>
      <c r="G2" s="29"/>
      <c r="H2" s="29"/>
    </row>
    <row r="3" spans="1:10" ht="48" x14ac:dyDescent="0.2">
      <c r="B3" s="5" t="s">
        <v>87</v>
      </c>
      <c r="C3" s="4" t="s">
        <v>86</v>
      </c>
      <c r="F3" s="5" t="s">
        <v>87</v>
      </c>
      <c r="G3" s="4" t="s">
        <v>86</v>
      </c>
      <c r="I3" s="3" t="s">
        <v>119</v>
      </c>
    </row>
    <row r="4" spans="1:10" x14ac:dyDescent="0.2">
      <c r="A4" t="s">
        <v>85</v>
      </c>
      <c r="B4" s="2">
        <f>(8.09+0)/2</f>
        <v>4.0449999999999999</v>
      </c>
      <c r="C4" s="1">
        <v>2</v>
      </c>
      <c r="E4" t="s">
        <v>84</v>
      </c>
      <c r="F4" s="9">
        <f>(2.74+3.42)/2</f>
        <v>3.08</v>
      </c>
      <c r="G4" s="14">
        <v>2</v>
      </c>
      <c r="I4" s="1" t="s">
        <v>83</v>
      </c>
      <c r="J4" s="2">
        <v>4.7300000000000004</v>
      </c>
    </row>
    <row r="5" spans="1:10" x14ac:dyDescent="0.2">
      <c r="A5" t="s">
        <v>82</v>
      </c>
      <c r="B5" s="12">
        <f>(5.16+4.43+1.21+2.97+4.06+1.08+2.59+6.29+2.6+5.61+4.07+1.09+10.51+2.38+1.76+2.23+7.15+0.86+0.89+1.25+1.13+1.32+4.73+0.86+0.88+0.55+1.39+2.49+0.7+2.61+0.81)/31</f>
        <v>2.7632258064516129</v>
      </c>
      <c r="C5" s="16">
        <v>31</v>
      </c>
      <c r="E5" t="s">
        <v>81</v>
      </c>
      <c r="F5" s="12">
        <f>(5.37+5.5+6.06+5.57)/4</f>
        <v>5.625</v>
      </c>
      <c r="G5" s="16">
        <v>4</v>
      </c>
      <c r="I5" s="1" t="s">
        <v>94</v>
      </c>
      <c r="J5" s="2">
        <v>4.9800000000000004</v>
      </c>
    </row>
    <row r="6" spans="1:10" x14ac:dyDescent="0.2">
      <c r="A6" t="s">
        <v>79</v>
      </c>
      <c r="B6" s="12">
        <v>4.96</v>
      </c>
      <c r="C6" s="16">
        <v>1</v>
      </c>
      <c r="E6" t="s">
        <v>78</v>
      </c>
      <c r="F6" s="12">
        <f>(6.32+6.06+5.67+7.88+6.41+6.11+0+5.42+5.62+6.5+7.46+6.45+5.52+5.63+6.1+6.43+6.41+6.63+7.14+6.27+1.5+0.02)/22</f>
        <v>5.5249999999999986</v>
      </c>
      <c r="G6" s="16">
        <v>22</v>
      </c>
      <c r="I6" s="1" t="s">
        <v>80</v>
      </c>
      <c r="J6" s="2">
        <v>4.9000000000000004</v>
      </c>
    </row>
    <row r="7" spans="1:10" x14ac:dyDescent="0.2">
      <c r="A7" t="s">
        <v>76</v>
      </c>
      <c r="B7" s="9" t="s">
        <v>117</v>
      </c>
      <c r="C7" s="14">
        <v>0</v>
      </c>
      <c r="E7" t="s">
        <v>75</v>
      </c>
      <c r="F7" s="9">
        <v>2.11</v>
      </c>
      <c r="G7" s="14">
        <v>1</v>
      </c>
      <c r="I7" s="1" t="s">
        <v>77</v>
      </c>
      <c r="J7" s="2">
        <v>4.5999999999999996</v>
      </c>
    </row>
    <row r="8" spans="1:10" x14ac:dyDescent="0.2">
      <c r="A8" t="s">
        <v>73</v>
      </c>
      <c r="B8" s="9">
        <f>(5.65+3.41+5.86+5.39)/4</f>
        <v>5.0775000000000006</v>
      </c>
      <c r="C8" s="14">
        <v>4</v>
      </c>
      <c r="E8" t="s">
        <v>72</v>
      </c>
      <c r="F8" s="9">
        <f>(5.4+4.82+4.75+5.45+1.85+5.34+3.92+4.56+2.51+0+0+0.01)/12</f>
        <v>3.2174999999999998</v>
      </c>
      <c r="G8" s="14">
        <v>12</v>
      </c>
      <c r="I8" s="1" t="s">
        <v>95</v>
      </c>
      <c r="J8" s="2">
        <v>4.91</v>
      </c>
    </row>
    <row r="9" spans="1:10" x14ac:dyDescent="0.2">
      <c r="A9" t="s">
        <v>71</v>
      </c>
      <c r="B9" s="12" t="s">
        <v>117</v>
      </c>
      <c r="C9" s="16">
        <v>0</v>
      </c>
      <c r="E9" t="s">
        <v>70</v>
      </c>
      <c r="F9" s="12">
        <f>(5.08+4.99+5.82+6.54)/4</f>
        <v>5.6074999999999999</v>
      </c>
      <c r="G9" s="16">
        <v>4</v>
      </c>
      <c r="I9" s="1" t="s">
        <v>96</v>
      </c>
      <c r="J9" s="2">
        <v>5.27</v>
      </c>
    </row>
    <row r="10" spans="1:10" x14ac:dyDescent="0.2">
      <c r="A10" t="s">
        <v>69</v>
      </c>
      <c r="B10" s="12">
        <v>1.08</v>
      </c>
      <c r="C10" s="16">
        <v>1</v>
      </c>
      <c r="E10" t="s">
        <v>68</v>
      </c>
      <c r="F10" s="12">
        <f>(6.34+6.81+6.84+8.06+4.82+1.73)/6</f>
        <v>5.7666666666666657</v>
      </c>
      <c r="G10" s="16">
        <v>6</v>
      </c>
      <c r="I10" s="1" t="s">
        <v>97</v>
      </c>
      <c r="J10" s="2">
        <v>6.13</v>
      </c>
    </row>
    <row r="11" spans="1:10" x14ac:dyDescent="0.2">
      <c r="A11" t="s">
        <v>66</v>
      </c>
      <c r="B11" s="9">
        <f>(6.29+6.39)/2</f>
        <v>6.34</v>
      </c>
      <c r="C11" s="14">
        <v>2</v>
      </c>
      <c r="E11" t="s">
        <v>65</v>
      </c>
      <c r="F11" s="9">
        <f>(6.33+3.65+5.06+5.92+6.01+5.99+6.75+4.99)/8</f>
        <v>5.5875000000000004</v>
      </c>
      <c r="G11" s="14">
        <v>8</v>
      </c>
      <c r="I11" s="1" t="s">
        <v>74</v>
      </c>
      <c r="J11" s="2">
        <v>5.51</v>
      </c>
    </row>
    <row r="12" spans="1:10" x14ac:dyDescent="0.2">
      <c r="A12" t="s">
        <v>63</v>
      </c>
      <c r="B12" s="9" t="s">
        <v>117</v>
      </c>
      <c r="C12" s="14">
        <v>0</v>
      </c>
      <c r="E12" t="s">
        <v>62</v>
      </c>
      <c r="F12" s="9" t="s">
        <v>117</v>
      </c>
      <c r="G12" s="14">
        <v>0</v>
      </c>
      <c r="I12" s="1" t="s">
        <v>98</v>
      </c>
      <c r="J12" s="2">
        <v>5.2</v>
      </c>
    </row>
    <row r="13" spans="1:10" x14ac:dyDescent="0.2">
      <c r="A13" t="s">
        <v>61</v>
      </c>
      <c r="B13" s="12" t="s">
        <v>117</v>
      </c>
      <c r="C13" s="16">
        <v>0</v>
      </c>
      <c r="E13" t="s">
        <v>60</v>
      </c>
      <c r="F13" s="12" t="s">
        <v>117</v>
      </c>
      <c r="G13" s="16">
        <v>0</v>
      </c>
      <c r="I13" s="1" t="s">
        <v>99</v>
      </c>
      <c r="J13" s="2">
        <v>4.72</v>
      </c>
    </row>
    <row r="14" spans="1:10" x14ac:dyDescent="0.2">
      <c r="A14" t="s">
        <v>59</v>
      </c>
      <c r="B14" s="12">
        <v>5.95</v>
      </c>
      <c r="C14" s="16">
        <v>1</v>
      </c>
      <c r="E14" t="s">
        <v>58</v>
      </c>
      <c r="F14" s="12">
        <f>(5.95+5.36+6.77+5.66+6.26+4.43+6+5.73+6.92+5.59+6.27+7.75+6.17+6.44+6.49+4.73+7.08+5.53+5.66+5.99+6.23+7.72+1.53)/23</f>
        <v>5.9243478260869562</v>
      </c>
      <c r="G14" s="16">
        <v>23</v>
      </c>
      <c r="I14" s="1" t="s">
        <v>100</v>
      </c>
      <c r="J14" s="2">
        <v>5.33</v>
      </c>
    </row>
    <row r="15" spans="1:10" x14ac:dyDescent="0.2">
      <c r="A15" t="s">
        <v>57</v>
      </c>
      <c r="B15" s="9">
        <v>4</v>
      </c>
      <c r="C15" s="14">
        <v>1</v>
      </c>
      <c r="E15" t="s">
        <v>56</v>
      </c>
      <c r="F15" s="9" t="s">
        <v>117</v>
      </c>
      <c r="G15" s="14">
        <v>0</v>
      </c>
      <c r="I15" s="1" t="s">
        <v>101</v>
      </c>
      <c r="J15" s="2">
        <v>6.83</v>
      </c>
    </row>
    <row r="16" spans="1:10" x14ac:dyDescent="0.2">
      <c r="A16" t="s">
        <v>54</v>
      </c>
      <c r="B16" s="9">
        <f>(2.75+4.89+3.22)/3</f>
        <v>3.6199999999999997</v>
      </c>
      <c r="C16" s="14">
        <v>3</v>
      </c>
      <c r="E16" t="s">
        <v>53</v>
      </c>
      <c r="F16" s="9">
        <v>5.04</v>
      </c>
      <c r="G16" s="14">
        <v>1</v>
      </c>
      <c r="I16" s="1" t="s">
        <v>102</v>
      </c>
      <c r="J16" s="2">
        <v>5.03</v>
      </c>
    </row>
    <row r="17" spans="1:10" x14ac:dyDescent="0.2">
      <c r="A17" t="s">
        <v>52</v>
      </c>
      <c r="B17" s="12">
        <v>3.3</v>
      </c>
      <c r="C17" s="16">
        <v>1</v>
      </c>
      <c r="E17" t="s">
        <v>51</v>
      </c>
      <c r="F17" s="12">
        <f>(5.16+4.24+4.97+5.05+5.97+5.79+5.65+5.02+5.97+7.1+5.84)/11</f>
        <v>5.5236363636363626</v>
      </c>
      <c r="G17" s="16">
        <v>1</v>
      </c>
      <c r="I17" s="1" t="s">
        <v>103</v>
      </c>
      <c r="J17" s="2">
        <v>4.09</v>
      </c>
    </row>
    <row r="18" spans="1:10" x14ac:dyDescent="0.2">
      <c r="A18" t="s">
        <v>49</v>
      </c>
      <c r="B18" s="12" t="s">
        <v>117</v>
      </c>
      <c r="C18" s="16">
        <v>0</v>
      </c>
      <c r="E18" t="s">
        <v>48</v>
      </c>
      <c r="F18" s="12">
        <f>(3.97+7.69+8.03+6.06+6.58+0+2.86+1.16+4.44+4.53+5.66+5.17+7.47+3.49+1.76+3.27+4.33+1.27+4.55+1.81+8)/21</f>
        <v>4.3857142857142843</v>
      </c>
      <c r="G18" s="16">
        <v>21</v>
      </c>
      <c r="I18" s="1" t="s">
        <v>67</v>
      </c>
      <c r="J18" s="2">
        <v>4.87</v>
      </c>
    </row>
    <row r="19" spans="1:10" x14ac:dyDescent="0.2">
      <c r="A19" t="s">
        <v>46</v>
      </c>
      <c r="B19" s="13" t="s">
        <v>117</v>
      </c>
      <c r="C19" s="19">
        <v>0</v>
      </c>
      <c r="E19" t="s">
        <v>45</v>
      </c>
      <c r="F19" s="9">
        <f>(3.38+5.45+4.83)/3</f>
        <v>4.5533333333333337</v>
      </c>
      <c r="G19" s="14">
        <v>3</v>
      </c>
      <c r="I19" s="1" t="s">
        <v>64</v>
      </c>
      <c r="J19" s="2">
        <v>4.3499999999999996</v>
      </c>
    </row>
    <row r="20" spans="1:10" x14ac:dyDescent="0.2">
      <c r="A20" t="s">
        <v>43</v>
      </c>
      <c r="B20" s="13">
        <f>(3.05+3.68+3.66+5.87+2.74+3.63)/6</f>
        <v>3.7716666666666665</v>
      </c>
      <c r="C20" s="19">
        <v>6</v>
      </c>
      <c r="E20" t="s">
        <v>42</v>
      </c>
      <c r="F20" s="9">
        <f>(4.06+7.36+5.18+5.76)/4</f>
        <v>5.59</v>
      </c>
      <c r="G20" s="14">
        <v>4</v>
      </c>
      <c r="I20" s="1" t="s">
        <v>104</v>
      </c>
      <c r="J20" s="2">
        <v>4.49</v>
      </c>
    </row>
    <row r="21" spans="1:10" x14ac:dyDescent="0.2">
      <c r="A21" t="s">
        <v>40</v>
      </c>
      <c r="B21" s="12" t="s">
        <v>117</v>
      </c>
      <c r="C21" s="16">
        <v>0</v>
      </c>
      <c r="E21" t="s">
        <v>39</v>
      </c>
      <c r="F21" s="12">
        <f>(5.41+6.15+5.26+6.04+5.86+5.18)/6</f>
        <v>5.6499999999999995</v>
      </c>
      <c r="G21" s="16">
        <v>6</v>
      </c>
      <c r="I21" s="1" t="s">
        <v>105</v>
      </c>
      <c r="J21" s="2">
        <v>5.0599999999999996</v>
      </c>
    </row>
    <row r="22" spans="1:10" x14ac:dyDescent="0.2">
      <c r="A22" t="s">
        <v>37</v>
      </c>
      <c r="B22" s="12">
        <f>(6.57+5.06)/2</f>
        <v>5.8149999999999995</v>
      </c>
      <c r="C22" s="16">
        <v>2</v>
      </c>
      <c r="E22" t="s">
        <v>36</v>
      </c>
      <c r="F22" s="12" t="s">
        <v>117</v>
      </c>
      <c r="G22" s="16">
        <v>0</v>
      </c>
      <c r="I22" s="1" t="s">
        <v>10</v>
      </c>
      <c r="J22" s="2">
        <v>5.08</v>
      </c>
    </row>
    <row r="23" spans="1:10" x14ac:dyDescent="0.2">
      <c r="A23" t="s">
        <v>35</v>
      </c>
      <c r="B23" s="9">
        <v>7.04</v>
      </c>
      <c r="C23" s="14">
        <v>1</v>
      </c>
      <c r="E23" t="s">
        <v>34</v>
      </c>
      <c r="F23" s="9" t="s">
        <v>117</v>
      </c>
      <c r="G23" s="14">
        <v>0</v>
      </c>
      <c r="I23" s="1" t="s">
        <v>115</v>
      </c>
      <c r="J23" s="2">
        <v>4.7300000000000004</v>
      </c>
    </row>
    <row r="24" spans="1:10" x14ac:dyDescent="0.2">
      <c r="A24" t="s">
        <v>32</v>
      </c>
      <c r="B24" s="9" t="s">
        <v>117</v>
      </c>
      <c r="C24" s="14">
        <v>0</v>
      </c>
      <c r="E24" t="s">
        <v>31</v>
      </c>
      <c r="F24" s="9" t="s">
        <v>117</v>
      </c>
      <c r="G24" s="14">
        <v>0</v>
      </c>
      <c r="I24" s="1" t="s">
        <v>106</v>
      </c>
      <c r="J24" s="2">
        <v>4.66</v>
      </c>
    </row>
    <row r="25" spans="1:10" x14ac:dyDescent="0.2">
      <c r="A25" t="s">
        <v>29</v>
      </c>
      <c r="B25" s="12">
        <f>(3.67+5.18+5.62+5.35)/4</f>
        <v>4.9550000000000001</v>
      </c>
      <c r="C25" s="16">
        <v>4</v>
      </c>
      <c r="E25" t="s">
        <v>28</v>
      </c>
      <c r="F25" s="12">
        <v>5.5</v>
      </c>
      <c r="G25" s="16">
        <v>1</v>
      </c>
      <c r="I25" s="1" t="s">
        <v>55</v>
      </c>
      <c r="J25" s="2">
        <v>6.18</v>
      </c>
    </row>
    <row r="26" spans="1:10" x14ac:dyDescent="0.2">
      <c r="A26" t="s">
        <v>26</v>
      </c>
      <c r="B26" s="12" t="s">
        <v>117</v>
      </c>
      <c r="C26" s="16">
        <v>0</v>
      </c>
      <c r="E26" t="s">
        <v>25</v>
      </c>
      <c r="F26" s="12">
        <f>(4.67+5.84)/2</f>
        <v>5.2549999999999999</v>
      </c>
      <c r="G26" s="16">
        <v>2</v>
      </c>
      <c r="I26" s="1" t="s">
        <v>116</v>
      </c>
      <c r="J26" s="2">
        <v>6.08</v>
      </c>
    </row>
    <row r="27" spans="1:10" x14ac:dyDescent="0.2">
      <c r="A27" t="s">
        <v>23</v>
      </c>
      <c r="B27" s="9">
        <v>3.98</v>
      </c>
      <c r="C27" s="14">
        <v>1</v>
      </c>
      <c r="E27" t="s">
        <v>22</v>
      </c>
      <c r="F27" s="9">
        <f>(8.31+6.26+2.47+7.93+6.45)/5</f>
        <v>6.2839999999999998</v>
      </c>
      <c r="G27" s="14">
        <v>5</v>
      </c>
      <c r="I27" s="1" t="s">
        <v>107</v>
      </c>
      <c r="J27" s="2">
        <v>4.72</v>
      </c>
    </row>
    <row r="28" spans="1:10" x14ac:dyDescent="0.2">
      <c r="A28" t="s">
        <v>20</v>
      </c>
      <c r="B28" s="9">
        <f>(5.71+6.46+5.22+6.9+6.03+6.58+6.34)/7</f>
        <v>6.1771428571428562</v>
      </c>
      <c r="C28" s="14">
        <v>7</v>
      </c>
      <c r="E28" t="s">
        <v>19</v>
      </c>
      <c r="F28" s="9">
        <f>(5.94+6.87+5.21+5.64+6.75+6.67+8.56+7.69+8.21+6+7.45+4.4+6.7+6.52+4.91)/15</f>
        <v>6.5013333333333332</v>
      </c>
      <c r="G28" s="14">
        <v>15</v>
      </c>
      <c r="I28" s="1" t="s">
        <v>50</v>
      </c>
      <c r="J28" s="2">
        <v>4.3</v>
      </c>
    </row>
    <row r="29" spans="1:10" x14ac:dyDescent="0.2">
      <c r="A29" t="s">
        <v>17</v>
      </c>
      <c r="B29" s="12">
        <f>(6.2+6.32+5.27+5.65+3.72)/5</f>
        <v>5.4319999999999995</v>
      </c>
      <c r="C29" s="16">
        <v>5</v>
      </c>
      <c r="E29" t="s">
        <v>16</v>
      </c>
      <c r="F29" s="12" t="s">
        <v>117</v>
      </c>
      <c r="G29" s="16">
        <v>0</v>
      </c>
      <c r="I29" s="1" t="s">
        <v>47</v>
      </c>
      <c r="J29" s="2">
        <v>5.68</v>
      </c>
    </row>
    <row r="30" spans="1:10" x14ac:dyDescent="0.2">
      <c r="A30" t="s">
        <v>14</v>
      </c>
      <c r="B30" s="12">
        <v>5.77</v>
      </c>
      <c r="C30" s="16">
        <v>1</v>
      </c>
      <c r="E30" t="s">
        <v>13</v>
      </c>
      <c r="F30" s="12">
        <f>(5.28+6.25+4.2+5.84)/4</f>
        <v>5.3925000000000001</v>
      </c>
      <c r="G30" s="16">
        <v>4</v>
      </c>
      <c r="I30" s="1" t="s">
        <v>44</v>
      </c>
      <c r="J30" s="2">
        <v>4.8499999999999996</v>
      </c>
    </row>
    <row r="31" spans="1:10" x14ac:dyDescent="0.2">
      <c r="A31" t="s">
        <v>12</v>
      </c>
      <c r="B31" s="9">
        <f>(6.49+13.8+1.4)/3</f>
        <v>7.2299999999999995</v>
      </c>
      <c r="C31" s="14">
        <v>3</v>
      </c>
      <c r="E31" t="s">
        <v>11</v>
      </c>
      <c r="F31" s="9">
        <v>4.29</v>
      </c>
      <c r="G31" s="14">
        <v>1</v>
      </c>
      <c r="I31" s="1" t="s">
        <v>41</v>
      </c>
      <c r="J31" s="2">
        <v>4.8600000000000003</v>
      </c>
    </row>
    <row r="32" spans="1:10" x14ac:dyDescent="0.2">
      <c r="A32" t="s">
        <v>10</v>
      </c>
      <c r="B32" s="9" t="s">
        <v>117</v>
      </c>
      <c r="C32" s="14">
        <v>0</v>
      </c>
      <c r="E32" t="s">
        <v>9</v>
      </c>
      <c r="F32" s="9">
        <f>(6.41+6.74+4.64+4.36+3.81)/5</f>
        <v>5.1919999999999993</v>
      </c>
      <c r="G32" s="14">
        <v>5</v>
      </c>
      <c r="I32" s="1" t="s">
        <v>38</v>
      </c>
      <c r="J32" s="2">
        <v>7.58</v>
      </c>
    </row>
    <row r="33" spans="1:10" x14ac:dyDescent="0.2">
      <c r="A33" t="s">
        <v>8</v>
      </c>
      <c r="B33" s="12" t="s">
        <v>117</v>
      </c>
      <c r="C33" s="16">
        <v>0</v>
      </c>
      <c r="E33" t="s">
        <v>7</v>
      </c>
      <c r="F33" s="12">
        <v>5.18</v>
      </c>
      <c r="G33" s="16">
        <v>1</v>
      </c>
      <c r="I33" s="1" t="s">
        <v>108</v>
      </c>
      <c r="J33" s="2">
        <v>4.45</v>
      </c>
    </row>
    <row r="34" spans="1:10" x14ac:dyDescent="0.2">
      <c r="A34" t="s">
        <v>6</v>
      </c>
      <c r="B34" s="12" t="s">
        <v>117</v>
      </c>
      <c r="C34" s="16">
        <v>0</v>
      </c>
      <c r="E34" t="s">
        <v>5</v>
      </c>
      <c r="F34" s="12">
        <v>2.35</v>
      </c>
      <c r="G34" s="16">
        <v>1</v>
      </c>
      <c r="I34" s="1" t="s">
        <v>109</v>
      </c>
      <c r="J34" s="2">
        <v>6.03</v>
      </c>
    </row>
    <row r="35" spans="1:10" x14ac:dyDescent="0.2">
      <c r="A35" t="s">
        <v>4</v>
      </c>
      <c r="B35" s="9" t="s">
        <v>117</v>
      </c>
      <c r="C35" s="14">
        <v>0</v>
      </c>
      <c r="E35" t="s">
        <v>3</v>
      </c>
      <c r="F35" s="9">
        <f>(3.26+6.35)/2</f>
        <v>4.8049999999999997</v>
      </c>
      <c r="G35" s="14">
        <v>2</v>
      </c>
      <c r="I35" s="1" t="s">
        <v>110</v>
      </c>
      <c r="J35" s="2">
        <v>5.09</v>
      </c>
    </row>
    <row r="36" spans="1:10" x14ac:dyDescent="0.2">
      <c r="A36" t="s">
        <v>2</v>
      </c>
      <c r="B36" s="9" t="s">
        <v>117</v>
      </c>
      <c r="C36" s="14">
        <v>0</v>
      </c>
      <c r="E36" t="s">
        <v>1</v>
      </c>
      <c r="F36" s="9">
        <f>(5.34+4.82)/2</f>
        <v>5.08</v>
      </c>
      <c r="G36" s="14">
        <v>2</v>
      </c>
      <c r="I36" s="1" t="s">
        <v>111</v>
      </c>
      <c r="J36" s="2">
        <v>4.91</v>
      </c>
    </row>
    <row r="37" spans="1:10" x14ac:dyDescent="0.2">
      <c r="A37" t="s">
        <v>0</v>
      </c>
      <c r="B37" s="12" t="s">
        <v>117</v>
      </c>
      <c r="C37" s="16">
        <v>0</v>
      </c>
      <c r="I37" s="1" t="s">
        <v>33</v>
      </c>
      <c r="J37" s="2">
        <v>5.49</v>
      </c>
    </row>
    <row r="38" spans="1:10" x14ac:dyDescent="0.2">
      <c r="I38" s="1" t="s">
        <v>30</v>
      </c>
      <c r="J38" s="2">
        <v>5.14</v>
      </c>
    </row>
    <row r="39" spans="1:10" x14ac:dyDescent="0.2">
      <c r="I39" s="1" t="s">
        <v>27</v>
      </c>
      <c r="J39" s="2">
        <v>5.07</v>
      </c>
    </row>
    <row r="40" spans="1:10" x14ac:dyDescent="0.2">
      <c r="I40" s="1" t="s">
        <v>24</v>
      </c>
      <c r="J40" s="2">
        <v>4.8499999999999996</v>
      </c>
    </row>
    <row r="41" spans="1:10" x14ac:dyDescent="0.2">
      <c r="I41" s="1" t="s">
        <v>21</v>
      </c>
      <c r="J41" s="2">
        <v>4.67</v>
      </c>
    </row>
    <row r="42" spans="1:10" x14ac:dyDescent="0.2">
      <c r="I42" s="1" t="s">
        <v>113</v>
      </c>
      <c r="J42" s="2">
        <v>5.1100000000000003</v>
      </c>
    </row>
    <row r="43" spans="1:10" x14ac:dyDescent="0.2">
      <c r="I43" s="1" t="s">
        <v>18</v>
      </c>
      <c r="J43" s="2">
        <v>5.56</v>
      </c>
    </row>
    <row r="44" spans="1:10" x14ac:dyDescent="0.2">
      <c r="I44" s="1" t="s">
        <v>112</v>
      </c>
      <c r="J44" s="2">
        <v>4.8499999999999996</v>
      </c>
    </row>
    <row r="45" spans="1:10" x14ac:dyDescent="0.2">
      <c r="I45" s="1" t="s">
        <v>15</v>
      </c>
      <c r="J45" s="2">
        <v>4.74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zoomScale="90" zoomScaleNormal="90" workbookViewId="0">
      <selection activeCell="F37" sqref="F37"/>
    </sheetView>
  </sheetViews>
  <sheetFormatPr baseColWidth="10" defaultColWidth="8.83203125" defaultRowHeight="15" x14ac:dyDescent="0.2"/>
  <cols>
    <col min="1" max="1" width="13.5" customWidth="1"/>
    <col min="2" max="2" width="17" customWidth="1"/>
    <col min="3" max="3" width="13.832031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6.33203125" customWidth="1"/>
    <col min="255" max="255" width="13.5" customWidth="1"/>
    <col min="256" max="256" width="17" customWidth="1"/>
    <col min="257" max="257" width="13.83203125" customWidth="1"/>
    <col min="259" max="259" width="13" customWidth="1"/>
    <col min="260" max="260" width="17.33203125" customWidth="1"/>
    <col min="261" max="261" width="12.5" customWidth="1"/>
    <col min="262" max="262" width="17" customWidth="1"/>
    <col min="263" max="263" width="13.5" customWidth="1"/>
    <col min="511" max="511" width="13.5" customWidth="1"/>
    <col min="512" max="512" width="17" customWidth="1"/>
    <col min="513" max="513" width="13.83203125" customWidth="1"/>
    <col min="515" max="515" width="13" customWidth="1"/>
    <col min="516" max="516" width="17.33203125" customWidth="1"/>
    <col min="517" max="517" width="12.5" customWidth="1"/>
    <col min="518" max="518" width="17" customWidth="1"/>
    <col min="519" max="519" width="13.5" customWidth="1"/>
    <col min="767" max="767" width="13.5" customWidth="1"/>
    <col min="768" max="768" width="17" customWidth="1"/>
    <col min="769" max="769" width="13.83203125" customWidth="1"/>
    <col min="771" max="771" width="13" customWidth="1"/>
    <col min="772" max="772" width="17.33203125" customWidth="1"/>
    <col min="773" max="773" width="12.5" customWidth="1"/>
    <col min="774" max="774" width="17" customWidth="1"/>
    <col min="775" max="775" width="13.5" customWidth="1"/>
    <col min="1023" max="1023" width="13.5" customWidth="1"/>
    <col min="1024" max="1024" width="17" customWidth="1"/>
    <col min="1025" max="1025" width="13.83203125" customWidth="1"/>
    <col min="1027" max="1027" width="13" customWidth="1"/>
    <col min="1028" max="1028" width="17.33203125" customWidth="1"/>
    <col min="1029" max="1029" width="12.5" customWidth="1"/>
    <col min="1030" max="1030" width="17" customWidth="1"/>
    <col min="1031" max="1031" width="13.5" customWidth="1"/>
    <col min="1279" max="1279" width="13.5" customWidth="1"/>
    <col min="1280" max="1280" width="17" customWidth="1"/>
    <col min="1281" max="1281" width="13.83203125" customWidth="1"/>
    <col min="1283" max="1283" width="13" customWidth="1"/>
    <col min="1284" max="1284" width="17.33203125" customWidth="1"/>
    <col min="1285" max="1285" width="12.5" customWidth="1"/>
    <col min="1286" max="1286" width="17" customWidth="1"/>
    <col min="1287" max="1287" width="13.5" customWidth="1"/>
    <col min="1535" max="1535" width="13.5" customWidth="1"/>
    <col min="1536" max="1536" width="17" customWidth="1"/>
    <col min="1537" max="1537" width="13.83203125" customWidth="1"/>
    <col min="1539" max="1539" width="13" customWidth="1"/>
    <col min="1540" max="1540" width="17.33203125" customWidth="1"/>
    <col min="1541" max="1541" width="12.5" customWidth="1"/>
    <col min="1542" max="1542" width="17" customWidth="1"/>
    <col min="1543" max="1543" width="13.5" customWidth="1"/>
    <col min="1791" max="1791" width="13.5" customWidth="1"/>
    <col min="1792" max="1792" width="17" customWidth="1"/>
    <col min="1793" max="1793" width="13.83203125" customWidth="1"/>
    <col min="1795" max="1795" width="13" customWidth="1"/>
    <col min="1796" max="1796" width="17.33203125" customWidth="1"/>
    <col min="1797" max="1797" width="12.5" customWidth="1"/>
    <col min="1798" max="1798" width="17" customWidth="1"/>
    <col min="1799" max="1799" width="13.5" customWidth="1"/>
    <col min="2047" max="2047" width="13.5" customWidth="1"/>
    <col min="2048" max="2048" width="17" customWidth="1"/>
    <col min="2049" max="2049" width="13.83203125" customWidth="1"/>
    <col min="2051" max="2051" width="13" customWidth="1"/>
    <col min="2052" max="2052" width="17.33203125" customWidth="1"/>
    <col min="2053" max="2053" width="12.5" customWidth="1"/>
    <col min="2054" max="2054" width="17" customWidth="1"/>
    <col min="2055" max="2055" width="13.5" customWidth="1"/>
    <col min="2303" max="2303" width="13.5" customWidth="1"/>
    <col min="2304" max="2304" width="17" customWidth="1"/>
    <col min="2305" max="2305" width="13.83203125" customWidth="1"/>
    <col min="2307" max="2307" width="13" customWidth="1"/>
    <col min="2308" max="2308" width="17.33203125" customWidth="1"/>
    <col min="2309" max="2309" width="12.5" customWidth="1"/>
    <col min="2310" max="2310" width="17" customWidth="1"/>
    <col min="2311" max="2311" width="13.5" customWidth="1"/>
    <col min="2559" max="2559" width="13.5" customWidth="1"/>
    <col min="2560" max="2560" width="17" customWidth="1"/>
    <col min="2561" max="2561" width="13.83203125" customWidth="1"/>
    <col min="2563" max="2563" width="13" customWidth="1"/>
    <col min="2564" max="2564" width="17.33203125" customWidth="1"/>
    <col min="2565" max="2565" width="12.5" customWidth="1"/>
    <col min="2566" max="2566" width="17" customWidth="1"/>
    <col min="2567" max="2567" width="13.5" customWidth="1"/>
    <col min="2815" max="2815" width="13.5" customWidth="1"/>
    <col min="2816" max="2816" width="17" customWidth="1"/>
    <col min="2817" max="2817" width="13.83203125" customWidth="1"/>
    <col min="2819" max="2819" width="13" customWidth="1"/>
    <col min="2820" max="2820" width="17.33203125" customWidth="1"/>
    <col min="2821" max="2821" width="12.5" customWidth="1"/>
    <col min="2822" max="2822" width="17" customWidth="1"/>
    <col min="2823" max="2823" width="13.5" customWidth="1"/>
    <col min="3071" max="3071" width="13.5" customWidth="1"/>
    <col min="3072" max="3072" width="17" customWidth="1"/>
    <col min="3073" max="3073" width="13.83203125" customWidth="1"/>
    <col min="3075" max="3075" width="13" customWidth="1"/>
    <col min="3076" max="3076" width="17.33203125" customWidth="1"/>
    <col min="3077" max="3077" width="12.5" customWidth="1"/>
    <col min="3078" max="3078" width="17" customWidth="1"/>
    <col min="3079" max="3079" width="13.5" customWidth="1"/>
    <col min="3327" max="3327" width="13.5" customWidth="1"/>
    <col min="3328" max="3328" width="17" customWidth="1"/>
    <col min="3329" max="3329" width="13.83203125" customWidth="1"/>
    <col min="3331" max="3331" width="13" customWidth="1"/>
    <col min="3332" max="3332" width="17.33203125" customWidth="1"/>
    <col min="3333" max="3333" width="12.5" customWidth="1"/>
    <col min="3334" max="3334" width="17" customWidth="1"/>
    <col min="3335" max="3335" width="13.5" customWidth="1"/>
    <col min="3583" max="3583" width="13.5" customWidth="1"/>
    <col min="3584" max="3584" width="17" customWidth="1"/>
    <col min="3585" max="3585" width="13.83203125" customWidth="1"/>
    <col min="3587" max="3587" width="13" customWidth="1"/>
    <col min="3588" max="3588" width="17.33203125" customWidth="1"/>
    <col min="3589" max="3589" width="12.5" customWidth="1"/>
    <col min="3590" max="3590" width="17" customWidth="1"/>
    <col min="3591" max="3591" width="13.5" customWidth="1"/>
    <col min="3839" max="3839" width="13.5" customWidth="1"/>
    <col min="3840" max="3840" width="17" customWidth="1"/>
    <col min="3841" max="3841" width="13.83203125" customWidth="1"/>
    <col min="3843" max="3843" width="13" customWidth="1"/>
    <col min="3844" max="3844" width="17.33203125" customWidth="1"/>
    <col min="3845" max="3845" width="12.5" customWidth="1"/>
    <col min="3846" max="3846" width="17" customWidth="1"/>
    <col min="3847" max="3847" width="13.5" customWidth="1"/>
    <col min="4095" max="4095" width="13.5" customWidth="1"/>
    <col min="4096" max="4096" width="17" customWidth="1"/>
    <col min="4097" max="4097" width="13.83203125" customWidth="1"/>
    <col min="4099" max="4099" width="13" customWidth="1"/>
    <col min="4100" max="4100" width="17.33203125" customWidth="1"/>
    <col min="4101" max="4101" width="12.5" customWidth="1"/>
    <col min="4102" max="4102" width="17" customWidth="1"/>
    <col min="4103" max="4103" width="13.5" customWidth="1"/>
    <col min="4351" max="4351" width="13.5" customWidth="1"/>
    <col min="4352" max="4352" width="17" customWidth="1"/>
    <col min="4353" max="4353" width="13.83203125" customWidth="1"/>
    <col min="4355" max="4355" width="13" customWidth="1"/>
    <col min="4356" max="4356" width="17.33203125" customWidth="1"/>
    <col min="4357" max="4357" width="12.5" customWidth="1"/>
    <col min="4358" max="4358" width="17" customWidth="1"/>
    <col min="4359" max="4359" width="13.5" customWidth="1"/>
    <col min="4607" max="4607" width="13.5" customWidth="1"/>
    <col min="4608" max="4608" width="17" customWidth="1"/>
    <col min="4609" max="4609" width="13.83203125" customWidth="1"/>
    <col min="4611" max="4611" width="13" customWidth="1"/>
    <col min="4612" max="4612" width="17.33203125" customWidth="1"/>
    <col min="4613" max="4613" width="12.5" customWidth="1"/>
    <col min="4614" max="4614" width="17" customWidth="1"/>
    <col min="4615" max="4615" width="13.5" customWidth="1"/>
    <col min="4863" max="4863" width="13.5" customWidth="1"/>
    <col min="4864" max="4864" width="17" customWidth="1"/>
    <col min="4865" max="4865" width="13.83203125" customWidth="1"/>
    <col min="4867" max="4867" width="13" customWidth="1"/>
    <col min="4868" max="4868" width="17.33203125" customWidth="1"/>
    <col min="4869" max="4869" width="12.5" customWidth="1"/>
    <col min="4870" max="4870" width="17" customWidth="1"/>
    <col min="4871" max="4871" width="13.5" customWidth="1"/>
    <col min="5119" max="5119" width="13.5" customWidth="1"/>
    <col min="5120" max="5120" width="17" customWidth="1"/>
    <col min="5121" max="5121" width="13.83203125" customWidth="1"/>
    <col min="5123" max="5123" width="13" customWidth="1"/>
    <col min="5124" max="5124" width="17.33203125" customWidth="1"/>
    <col min="5125" max="5125" width="12.5" customWidth="1"/>
    <col min="5126" max="5126" width="17" customWidth="1"/>
    <col min="5127" max="5127" width="13.5" customWidth="1"/>
    <col min="5375" max="5375" width="13.5" customWidth="1"/>
    <col min="5376" max="5376" width="17" customWidth="1"/>
    <col min="5377" max="5377" width="13.83203125" customWidth="1"/>
    <col min="5379" max="5379" width="13" customWidth="1"/>
    <col min="5380" max="5380" width="17.33203125" customWidth="1"/>
    <col min="5381" max="5381" width="12.5" customWidth="1"/>
    <col min="5382" max="5382" width="17" customWidth="1"/>
    <col min="5383" max="5383" width="13.5" customWidth="1"/>
    <col min="5631" max="5631" width="13.5" customWidth="1"/>
    <col min="5632" max="5632" width="17" customWidth="1"/>
    <col min="5633" max="5633" width="13.83203125" customWidth="1"/>
    <col min="5635" max="5635" width="13" customWidth="1"/>
    <col min="5636" max="5636" width="17.33203125" customWidth="1"/>
    <col min="5637" max="5637" width="12.5" customWidth="1"/>
    <col min="5638" max="5638" width="17" customWidth="1"/>
    <col min="5639" max="5639" width="13.5" customWidth="1"/>
    <col min="5887" max="5887" width="13.5" customWidth="1"/>
    <col min="5888" max="5888" width="17" customWidth="1"/>
    <col min="5889" max="5889" width="13.83203125" customWidth="1"/>
    <col min="5891" max="5891" width="13" customWidth="1"/>
    <col min="5892" max="5892" width="17.33203125" customWidth="1"/>
    <col min="5893" max="5893" width="12.5" customWidth="1"/>
    <col min="5894" max="5894" width="17" customWidth="1"/>
    <col min="5895" max="5895" width="13.5" customWidth="1"/>
    <col min="6143" max="6143" width="13.5" customWidth="1"/>
    <col min="6144" max="6144" width="17" customWidth="1"/>
    <col min="6145" max="6145" width="13.83203125" customWidth="1"/>
    <col min="6147" max="6147" width="13" customWidth="1"/>
    <col min="6148" max="6148" width="17.33203125" customWidth="1"/>
    <col min="6149" max="6149" width="12.5" customWidth="1"/>
    <col min="6150" max="6150" width="17" customWidth="1"/>
    <col min="6151" max="6151" width="13.5" customWidth="1"/>
    <col min="6399" max="6399" width="13.5" customWidth="1"/>
    <col min="6400" max="6400" width="17" customWidth="1"/>
    <col min="6401" max="6401" width="13.83203125" customWidth="1"/>
    <col min="6403" max="6403" width="13" customWidth="1"/>
    <col min="6404" max="6404" width="17.33203125" customWidth="1"/>
    <col min="6405" max="6405" width="12.5" customWidth="1"/>
    <col min="6406" max="6406" width="17" customWidth="1"/>
    <col min="6407" max="6407" width="13.5" customWidth="1"/>
    <col min="6655" max="6655" width="13.5" customWidth="1"/>
    <col min="6656" max="6656" width="17" customWidth="1"/>
    <col min="6657" max="6657" width="13.83203125" customWidth="1"/>
    <col min="6659" max="6659" width="13" customWidth="1"/>
    <col min="6660" max="6660" width="17.33203125" customWidth="1"/>
    <col min="6661" max="6661" width="12.5" customWidth="1"/>
    <col min="6662" max="6662" width="17" customWidth="1"/>
    <col min="6663" max="6663" width="13.5" customWidth="1"/>
    <col min="6911" max="6911" width="13.5" customWidth="1"/>
    <col min="6912" max="6912" width="17" customWidth="1"/>
    <col min="6913" max="6913" width="13.83203125" customWidth="1"/>
    <col min="6915" max="6915" width="13" customWidth="1"/>
    <col min="6916" max="6916" width="17.33203125" customWidth="1"/>
    <col min="6917" max="6917" width="12.5" customWidth="1"/>
    <col min="6918" max="6918" width="17" customWidth="1"/>
    <col min="6919" max="6919" width="13.5" customWidth="1"/>
    <col min="7167" max="7167" width="13.5" customWidth="1"/>
    <col min="7168" max="7168" width="17" customWidth="1"/>
    <col min="7169" max="7169" width="13.83203125" customWidth="1"/>
    <col min="7171" max="7171" width="13" customWidth="1"/>
    <col min="7172" max="7172" width="17.33203125" customWidth="1"/>
    <col min="7173" max="7173" width="12.5" customWidth="1"/>
    <col min="7174" max="7174" width="17" customWidth="1"/>
    <col min="7175" max="7175" width="13.5" customWidth="1"/>
    <col min="7423" max="7423" width="13.5" customWidth="1"/>
    <col min="7424" max="7424" width="17" customWidth="1"/>
    <col min="7425" max="7425" width="13.83203125" customWidth="1"/>
    <col min="7427" max="7427" width="13" customWidth="1"/>
    <col min="7428" max="7428" width="17.33203125" customWidth="1"/>
    <col min="7429" max="7429" width="12.5" customWidth="1"/>
    <col min="7430" max="7430" width="17" customWidth="1"/>
    <col min="7431" max="7431" width="13.5" customWidth="1"/>
    <col min="7679" max="7679" width="13.5" customWidth="1"/>
    <col min="7680" max="7680" width="17" customWidth="1"/>
    <col min="7681" max="7681" width="13.83203125" customWidth="1"/>
    <col min="7683" max="7683" width="13" customWidth="1"/>
    <col min="7684" max="7684" width="17.33203125" customWidth="1"/>
    <col min="7685" max="7685" width="12.5" customWidth="1"/>
    <col min="7686" max="7686" width="17" customWidth="1"/>
    <col min="7687" max="7687" width="13.5" customWidth="1"/>
    <col min="7935" max="7935" width="13.5" customWidth="1"/>
    <col min="7936" max="7936" width="17" customWidth="1"/>
    <col min="7937" max="7937" width="13.83203125" customWidth="1"/>
    <col min="7939" max="7939" width="13" customWidth="1"/>
    <col min="7940" max="7940" width="17.33203125" customWidth="1"/>
    <col min="7941" max="7941" width="12.5" customWidth="1"/>
    <col min="7942" max="7942" width="17" customWidth="1"/>
    <col min="7943" max="7943" width="13.5" customWidth="1"/>
    <col min="8191" max="8191" width="13.5" customWidth="1"/>
    <col min="8192" max="8192" width="17" customWidth="1"/>
    <col min="8193" max="8193" width="13.83203125" customWidth="1"/>
    <col min="8195" max="8195" width="13" customWidth="1"/>
    <col min="8196" max="8196" width="17.33203125" customWidth="1"/>
    <col min="8197" max="8197" width="12.5" customWidth="1"/>
    <col min="8198" max="8198" width="17" customWidth="1"/>
    <col min="8199" max="8199" width="13.5" customWidth="1"/>
    <col min="8447" max="8447" width="13.5" customWidth="1"/>
    <col min="8448" max="8448" width="17" customWidth="1"/>
    <col min="8449" max="8449" width="13.83203125" customWidth="1"/>
    <col min="8451" max="8451" width="13" customWidth="1"/>
    <col min="8452" max="8452" width="17.33203125" customWidth="1"/>
    <col min="8453" max="8453" width="12.5" customWidth="1"/>
    <col min="8454" max="8454" width="17" customWidth="1"/>
    <col min="8455" max="8455" width="13.5" customWidth="1"/>
    <col min="8703" max="8703" width="13.5" customWidth="1"/>
    <col min="8704" max="8704" width="17" customWidth="1"/>
    <col min="8705" max="8705" width="13.83203125" customWidth="1"/>
    <col min="8707" max="8707" width="13" customWidth="1"/>
    <col min="8708" max="8708" width="17.33203125" customWidth="1"/>
    <col min="8709" max="8709" width="12.5" customWidth="1"/>
    <col min="8710" max="8710" width="17" customWidth="1"/>
    <col min="8711" max="8711" width="13.5" customWidth="1"/>
    <col min="8959" max="8959" width="13.5" customWidth="1"/>
    <col min="8960" max="8960" width="17" customWidth="1"/>
    <col min="8961" max="8961" width="13.83203125" customWidth="1"/>
    <col min="8963" max="8963" width="13" customWidth="1"/>
    <col min="8964" max="8964" width="17.33203125" customWidth="1"/>
    <col min="8965" max="8965" width="12.5" customWidth="1"/>
    <col min="8966" max="8966" width="17" customWidth="1"/>
    <col min="8967" max="8967" width="13.5" customWidth="1"/>
    <col min="9215" max="9215" width="13.5" customWidth="1"/>
    <col min="9216" max="9216" width="17" customWidth="1"/>
    <col min="9217" max="9217" width="13.83203125" customWidth="1"/>
    <col min="9219" max="9219" width="13" customWidth="1"/>
    <col min="9220" max="9220" width="17.33203125" customWidth="1"/>
    <col min="9221" max="9221" width="12.5" customWidth="1"/>
    <col min="9222" max="9222" width="17" customWidth="1"/>
    <col min="9223" max="9223" width="13.5" customWidth="1"/>
    <col min="9471" max="9471" width="13.5" customWidth="1"/>
    <col min="9472" max="9472" width="17" customWidth="1"/>
    <col min="9473" max="9473" width="13.83203125" customWidth="1"/>
    <col min="9475" max="9475" width="13" customWidth="1"/>
    <col min="9476" max="9476" width="17.33203125" customWidth="1"/>
    <col min="9477" max="9477" width="12.5" customWidth="1"/>
    <col min="9478" max="9478" width="17" customWidth="1"/>
    <col min="9479" max="9479" width="13.5" customWidth="1"/>
    <col min="9727" max="9727" width="13.5" customWidth="1"/>
    <col min="9728" max="9728" width="17" customWidth="1"/>
    <col min="9729" max="9729" width="13.83203125" customWidth="1"/>
    <col min="9731" max="9731" width="13" customWidth="1"/>
    <col min="9732" max="9732" width="17.33203125" customWidth="1"/>
    <col min="9733" max="9733" width="12.5" customWidth="1"/>
    <col min="9734" max="9734" width="17" customWidth="1"/>
    <col min="9735" max="9735" width="13.5" customWidth="1"/>
    <col min="9983" max="9983" width="13.5" customWidth="1"/>
    <col min="9984" max="9984" width="17" customWidth="1"/>
    <col min="9985" max="9985" width="13.83203125" customWidth="1"/>
    <col min="9987" max="9987" width="13" customWidth="1"/>
    <col min="9988" max="9988" width="17.33203125" customWidth="1"/>
    <col min="9989" max="9989" width="12.5" customWidth="1"/>
    <col min="9990" max="9990" width="17" customWidth="1"/>
    <col min="9991" max="9991" width="13.5" customWidth="1"/>
    <col min="10239" max="10239" width="13.5" customWidth="1"/>
    <col min="10240" max="10240" width="17" customWidth="1"/>
    <col min="10241" max="10241" width="13.83203125" customWidth="1"/>
    <col min="10243" max="10243" width="13" customWidth="1"/>
    <col min="10244" max="10244" width="17.33203125" customWidth="1"/>
    <col min="10245" max="10245" width="12.5" customWidth="1"/>
    <col min="10246" max="10246" width="17" customWidth="1"/>
    <col min="10247" max="10247" width="13.5" customWidth="1"/>
    <col min="10495" max="10495" width="13.5" customWidth="1"/>
    <col min="10496" max="10496" width="17" customWidth="1"/>
    <col min="10497" max="10497" width="13.83203125" customWidth="1"/>
    <col min="10499" max="10499" width="13" customWidth="1"/>
    <col min="10500" max="10500" width="17.33203125" customWidth="1"/>
    <col min="10501" max="10501" width="12.5" customWidth="1"/>
    <col min="10502" max="10502" width="17" customWidth="1"/>
    <col min="10503" max="10503" width="13.5" customWidth="1"/>
    <col min="10751" max="10751" width="13.5" customWidth="1"/>
    <col min="10752" max="10752" width="17" customWidth="1"/>
    <col min="10753" max="10753" width="13.83203125" customWidth="1"/>
    <col min="10755" max="10755" width="13" customWidth="1"/>
    <col min="10756" max="10756" width="17.33203125" customWidth="1"/>
    <col min="10757" max="10757" width="12.5" customWidth="1"/>
    <col min="10758" max="10758" width="17" customWidth="1"/>
    <col min="10759" max="10759" width="13.5" customWidth="1"/>
    <col min="11007" max="11007" width="13.5" customWidth="1"/>
    <col min="11008" max="11008" width="17" customWidth="1"/>
    <col min="11009" max="11009" width="13.83203125" customWidth="1"/>
    <col min="11011" max="11011" width="13" customWidth="1"/>
    <col min="11012" max="11012" width="17.33203125" customWidth="1"/>
    <col min="11013" max="11013" width="12.5" customWidth="1"/>
    <col min="11014" max="11014" width="17" customWidth="1"/>
    <col min="11015" max="11015" width="13.5" customWidth="1"/>
    <col min="11263" max="11263" width="13.5" customWidth="1"/>
    <col min="11264" max="11264" width="17" customWidth="1"/>
    <col min="11265" max="11265" width="13.83203125" customWidth="1"/>
    <col min="11267" max="11267" width="13" customWidth="1"/>
    <col min="11268" max="11268" width="17.33203125" customWidth="1"/>
    <col min="11269" max="11269" width="12.5" customWidth="1"/>
    <col min="11270" max="11270" width="17" customWidth="1"/>
    <col min="11271" max="11271" width="13.5" customWidth="1"/>
    <col min="11519" max="11519" width="13.5" customWidth="1"/>
    <col min="11520" max="11520" width="17" customWidth="1"/>
    <col min="11521" max="11521" width="13.83203125" customWidth="1"/>
    <col min="11523" max="11523" width="13" customWidth="1"/>
    <col min="11524" max="11524" width="17.33203125" customWidth="1"/>
    <col min="11525" max="11525" width="12.5" customWidth="1"/>
    <col min="11526" max="11526" width="17" customWidth="1"/>
    <col min="11527" max="11527" width="13.5" customWidth="1"/>
    <col min="11775" max="11775" width="13.5" customWidth="1"/>
    <col min="11776" max="11776" width="17" customWidth="1"/>
    <col min="11777" max="11777" width="13.83203125" customWidth="1"/>
    <col min="11779" max="11779" width="13" customWidth="1"/>
    <col min="11780" max="11780" width="17.33203125" customWidth="1"/>
    <col min="11781" max="11781" width="12.5" customWidth="1"/>
    <col min="11782" max="11782" width="17" customWidth="1"/>
    <col min="11783" max="11783" width="13.5" customWidth="1"/>
    <col min="12031" max="12031" width="13.5" customWidth="1"/>
    <col min="12032" max="12032" width="17" customWidth="1"/>
    <col min="12033" max="12033" width="13.83203125" customWidth="1"/>
    <col min="12035" max="12035" width="13" customWidth="1"/>
    <col min="12036" max="12036" width="17.33203125" customWidth="1"/>
    <col min="12037" max="12037" width="12.5" customWidth="1"/>
    <col min="12038" max="12038" width="17" customWidth="1"/>
    <col min="12039" max="12039" width="13.5" customWidth="1"/>
    <col min="12287" max="12287" width="13.5" customWidth="1"/>
    <col min="12288" max="12288" width="17" customWidth="1"/>
    <col min="12289" max="12289" width="13.83203125" customWidth="1"/>
    <col min="12291" max="12291" width="13" customWidth="1"/>
    <col min="12292" max="12292" width="17.33203125" customWidth="1"/>
    <col min="12293" max="12293" width="12.5" customWidth="1"/>
    <col min="12294" max="12294" width="17" customWidth="1"/>
    <col min="12295" max="12295" width="13.5" customWidth="1"/>
    <col min="12543" max="12543" width="13.5" customWidth="1"/>
    <col min="12544" max="12544" width="17" customWidth="1"/>
    <col min="12545" max="12545" width="13.83203125" customWidth="1"/>
    <col min="12547" max="12547" width="13" customWidth="1"/>
    <col min="12548" max="12548" width="17.33203125" customWidth="1"/>
    <col min="12549" max="12549" width="12.5" customWidth="1"/>
    <col min="12550" max="12550" width="17" customWidth="1"/>
    <col min="12551" max="12551" width="13.5" customWidth="1"/>
    <col min="12799" max="12799" width="13.5" customWidth="1"/>
    <col min="12800" max="12800" width="17" customWidth="1"/>
    <col min="12801" max="12801" width="13.83203125" customWidth="1"/>
    <col min="12803" max="12803" width="13" customWidth="1"/>
    <col min="12804" max="12804" width="17.33203125" customWidth="1"/>
    <col min="12805" max="12805" width="12.5" customWidth="1"/>
    <col min="12806" max="12806" width="17" customWidth="1"/>
    <col min="12807" max="12807" width="13.5" customWidth="1"/>
    <col min="13055" max="13055" width="13.5" customWidth="1"/>
    <col min="13056" max="13056" width="17" customWidth="1"/>
    <col min="13057" max="13057" width="13.83203125" customWidth="1"/>
    <col min="13059" max="13059" width="13" customWidth="1"/>
    <col min="13060" max="13060" width="17.33203125" customWidth="1"/>
    <col min="13061" max="13061" width="12.5" customWidth="1"/>
    <col min="13062" max="13062" width="17" customWidth="1"/>
    <col min="13063" max="13063" width="13.5" customWidth="1"/>
    <col min="13311" max="13311" width="13.5" customWidth="1"/>
    <col min="13312" max="13312" width="17" customWidth="1"/>
    <col min="13313" max="13313" width="13.83203125" customWidth="1"/>
    <col min="13315" max="13315" width="13" customWidth="1"/>
    <col min="13316" max="13316" width="17.33203125" customWidth="1"/>
    <col min="13317" max="13317" width="12.5" customWidth="1"/>
    <col min="13318" max="13318" width="17" customWidth="1"/>
    <col min="13319" max="13319" width="13.5" customWidth="1"/>
    <col min="13567" max="13567" width="13.5" customWidth="1"/>
    <col min="13568" max="13568" width="17" customWidth="1"/>
    <col min="13569" max="13569" width="13.83203125" customWidth="1"/>
    <col min="13571" max="13571" width="13" customWidth="1"/>
    <col min="13572" max="13572" width="17.33203125" customWidth="1"/>
    <col min="13573" max="13573" width="12.5" customWidth="1"/>
    <col min="13574" max="13574" width="17" customWidth="1"/>
    <col min="13575" max="13575" width="13.5" customWidth="1"/>
    <col min="13823" max="13823" width="13.5" customWidth="1"/>
    <col min="13824" max="13824" width="17" customWidth="1"/>
    <col min="13825" max="13825" width="13.83203125" customWidth="1"/>
    <col min="13827" max="13827" width="13" customWidth="1"/>
    <col min="13828" max="13828" width="17.33203125" customWidth="1"/>
    <col min="13829" max="13829" width="12.5" customWidth="1"/>
    <col min="13830" max="13830" width="17" customWidth="1"/>
    <col min="13831" max="13831" width="13.5" customWidth="1"/>
    <col min="14079" max="14079" width="13.5" customWidth="1"/>
    <col min="14080" max="14080" width="17" customWidth="1"/>
    <col min="14081" max="14081" width="13.83203125" customWidth="1"/>
    <col min="14083" max="14083" width="13" customWidth="1"/>
    <col min="14084" max="14084" width="17.33203125" customWidth="1"/>
    <col min="14085" max="14085" width="12.5" customWidth="1"/>
    <col min="14086" max="14086" width="17" customWidth="1"/>
    <col min="14087" max="14087" width="13.5" customWidth="1"/>
    <col min="14335" max="14335" width="13.5" customWidth="1"/>
    <col min="14336" max="14336" width="17" customWidth="1"/>
    <col min="14337" max="14337" width="13.83203125" customWidth="1"/>
    <col min="14339" max="14339" width="13" customWidth="1"/>
    <col min="14340" max="14340" width="17.33203125" customWidth="1"/>
    <col min="14341" max="14341" width="12.5" customWidth="1"/>
    <col min="14342" max="14342" width="17" customWidth="1"/>
    <col min="14343" max="14343" width="13.5" customWidth="1"/>
    <col min="14591" max="14591" width="13.5" customWidth="1"/>
    <col min="14592" max="14592" width="17" customWidth="1"/>
    <col min="14593" max="14593" width="13.83203125" customWidth="1"/>
    <col min="14595" max="14595" width="13" customWidth="1"/>
    <col min="14596" max="14596" width="17.33203125" customWidth="1"/>
    <col min="14597" max="14597" width="12.5" customWidth="1"/>
    <col min="14598" max="14598" width="17" customWidth="1"/>
    <col min="14599" max="14599" width="13.5" customWidth="1"/>
    <col min="14847" max="14847" width="13.5" customWidth="1"/>
    <col min="14848" max="14848" width="17" customWidth="1"/>
    <col min="14849" max="14849" width="13.83203125" customWidth="1"/>
    <col min="14851" max="14851" width="13" customWidth="1"/>
    <col min="14852" max="14852" width="17.33203125" customWidth="1"/>
    <col min="14853" max="14853" width="12.5" customWidth="1"/>
    <col min="14854" max="14854" width="17" customWidth="1"/>
    <col min="14855" max="14855" width="13.5" customWidth="1"/>
    <col min="15103" max="15103" width="13.5" customWidth="1"/>
    <col min="15104" max="15104" width="17" customWidth="1"/>
    <col min="15105" max="15105" width="13.83203125" customWidth="1"/>
    <col min="15107" max="15107" width="13" customWidth="1"/>
    <col min="15108" max="15108" width="17.33203125" customWidth="1"/>
    <col min="15109" max="15109" width="12.5" customWidth="1"/>
    <col min="15110" max="15110" width="17" customWidth="1"/>
    <col min="15111" max="15111" width="13.5" customWidth="1"/>
    <col min="15359" max="15359" width="13.5" customWidth="1"/>
    <col min="15360" max="15360" width="17" customWidth="1"/>
    <col min="15361" max="15361" width="13.83203125" customWidth="1"/>
    <col min="15363" max="15363" width="13" customWidth="1"/>
    <col min="15364" max="15364" width="17.33203125" customWidth="1"/>
    <col min="15365" max="15365" width="12.5" customWidth="1"/>
    <col min="15366" max="15366" width="17" customWidth="1"/>
    <col min="15367" max="15367" width="13.5" customWidth="1"/>
    <col min="15615" max="15615" width="13.5" customWidth="1"/>
    <col min="15616" max="15616" width="17" customWidth="1"/>
    <col min="15617" max="15617" width="13.83203125" customWidth="1"/>
    <col min="15619" max="15619" width="13" customWidth="1"/>
    <col min="15620" max="15620" width="17.33203125" customWidth="1"/>
    <col min="15621" max="15621" width="12.5" customWidth="1"/>
    <col min="15622" max="15622" width="17" customWidth="1"/>
    <col min="15623" max="15623" width="13.5" customWidth="1"/>
    <col min="15871" max="15871" width="13.5" customWidth="1"/>
    <col min="15872" max="15872" width="17" customWidth="1"/>
    <col min="15873" max="15873" width="13.83203125" customWidth="1"/>
    <col min="15875" max="15875" width="13" customWidth="1"/>
    <col min="15876" max="15876" width="17.33203125" customWidth="1"/>
    <col min="15877" max="15877" width="12.5" customWidth="1"/>
    <col min="15878" max="15878" width="17" customWidth="1"/>
    <col min="15879" max="15879" width="13.5" customWidth="1"/>
    <col min="16127" max="16127" width="13.5" customWidth="1"/>
    <col min="16128" max="16128" width="17" customWidth="1"/>
    <col min="16129" max="16129" width="13.83203125" customWidth="1"/>
    <col min="16131" max="16131" width="13" customWidth="1"/>
    <col min="16132" max="16132" width="17.33203125" customWidth="1"/>
    <col min="16133" max="16133" width="12.5" customWidth="1"/>
    <col min="16134" max="16134" width="17" customWidth="1"/>
    <col min="16135" max="16135" width="13.5" customWidth="1"/>
  </cols>
  <sheetData>
    <row r="1" spans="1:10" x14ac:dyDescent="0.2">
      <c r="A1" s="28" t="s">
        <v>88</v>
      </c>
      <c r="B1" s="28"/>
      <c r="C1" s="28"/>
      <c r="D1" s="28"/>
      <c r="E1" s="28"/>
      <c r="F1" s="28"/>
      <c r="G1" s="28"/>
      <c r="H1" s="28"/>
    </row>
    <row r="2" spans="1:10" x14ac:dyDescent="0.2">
      <c r="A2" s="29" t="s">
        <v>125</v>
      </c>
      <c r="B2" s="29"/>
      <c r="C2" s="29"/>
      <c r="D2" s="29"/>
      <c r="E2" s="29"/>
      <c r="F2" s="29"/>
      <c r="G2" s="29"/>
      <c r="H2" s="29"/>
    </row>
    <row r="3" spans="1:10" ht="14.25" customHeight="1" x14ac:dyDescent="0.2">
      <c r="B3" s="5" t="s">
        <v>87</v>
      </c>
      <c r="C3" s="4" t="s">
        <v>86</v>
      </c>
      <c r="F3" s="5" t="s">
        <v>87</v>
      </c>
      <c r="G3" s="4" t="s">
        <v>86</v>
      </c>
    </row>
    <row r="4" spans="1:10" ht="27.75" customHeight="1" x14ac:dyDescent="0.2">
      <c r="A4" t="s">
        <v>85</v>
      </c>
      <c r="B4" s="20">
        <v>6.35</v>
      </c>
      <c r="C4" s="21">
        <v>1</v>
      </c>
      <c r="E4" t="s">
        <v>84</v>
      </c>
      <c r="F4" s="24">
        <f>(1.31+1.56+2.2)/3</f>
        <v>1.6900000000000002</v>
      </c>
      <c r="G4" s="21">
        <v>3</v>
      </c>
      <c r="I4" s="3" t="s">
        <v>121</v>
      </c>
    </row>
    <row r="5" spans="1:10" x14ac:dyDescent="0.2">
      <c r="A5" t="s">
        <v>82</v>
      </c>
      <c r="B5" s="22">
        <f>(1.59+1.67+2.72+1.6+1.88+3.74+1.77+1.46+1.81+1.55+1.62+3.29+3.49+1.92+2.44+1.76+2.83+3.87+3.45+4.55+3.37+1.49+2.06+3.14+2.73+4.13+3.54+2.09+1.53+1.92+3.13)/31</f>
        <v>2.5206451612903225</v>
      </c>
      <c r="C5" s="23">
        <v>31</v>
      </c>
      <c r="E5" t="s">
        <v>81</v>
      </c>
      <c r="F5" s="22">
        <f>(7.89+8.12+9.13+8.82)/4</f>
        <v>8.49</v>
      </c>
      <c r="G5" s="23">
        <v>4</v>
      </c>
      <c r="I5" s="1" t="s">
        <v>83</v>
      </c>
      <c r="J5" s="2">
        <v>5.12</v>
      </c>
    </row>
    <row r="6" spans="1:10" x14ac:dyDescent="0.2">
      <c r="A6" t="s">
        <v>79</v>
      </c>
      <c r="B6" s="22">
        <v>2.42</v>
      </c>
      <c r="C6" s="23">
        <v>1</v>
      </c>
      <c r="E6" t="s">
        <v>78</v>
      </c>
      <c r="F6" s="22">
        <f>(8.64+7.09+7.14+9.19+5.71+7.69+6.99+5.89+8.61+7.57+6.93+5.88+6.87+7.47+9.5+8.08+4.49+7.13+8.45)/19</f>
        <v>7.3326315789473684</v>
      </c>
      <c r="G6" s="23">
        <v>19</v>
      </c>
      <c r="I6" s="1" t="s">
        <v>94</v>
      </c>
      <c r="J6" s="2">
        <v>5.0599999999999996</v>
      </c>
    </row>
    <row r="7" spans="1:10" x14ac:dyDescent="0.2">
      <c r="A7" t="s">
        <v>76</v>
      </c>
      <c r="B7" s="20">
        <v>5.08</v>
      </c>
      <c r="C7" s="21">
        <v>1</v>
      </c>
      <c r="E7" t="s">
        <v>75</v>
      </c>
      <c r="F7" s="24">
        <v>11</v>
      </c>
      <c r="G7" s="21">
        <v>1</v>
      </c>
      <c r="I7" s="1" t="s">
        <v>80</v>
      </c>
      <c r="J7" s="2">
        <v>5.12</v>
      </c>
    </row>
    <row r="8" spans="1:10" x14ac:dyDescent="0.2">
      <c r="A8" t="s">
        <v>73</v>
      </c>
      <c r="B8" s="20">
        <f>(8.68+10.24+9.58)/3</f>
        <v>9.5</v>
      </c>
      <c r="C8" s="21">
        <v>3</v>
      </c>
      <c r="E8" t="s">
        <v>72</v>
      </c>
      <c r="F8" s="24">
        <f>(7.86+7.22+7.73+7.39+4.4+6.04+7.22+12.88+0+6.3)/10</f>
        <v>6.7040000000000006</v>
      </c>
      <c r="G8" s="21">
        <v>10</v>
      </c>
      <c r="I8" s="1" t="s">
        <v>77</v>
      </c>
      <c r="J8" s="2">
        <v>5.18</v>
      </c>
    </row>
    <row r="9" spans="1:10" x14ac:dyDescent="0.2">
      <c r="A9" t="s">
        <v>71</v>
      </c>
      <c r="B9" s="22" t="s">
        <v>117</v>
      </c>
      <c r="C9" s="23">
        <v>0</v>
      </c>
      <c r="E9" t="s">
        <v>70</v>
      </c>
      <c r="F9" s="22">
        <f>(7.37+8.98+9.01)/3</f>
        <v>8.4533333333333331</v>
      </c>
      <c r="G9" s="23">
        <v>3</v>
      </c>
      <c r="I9" s="1" t="s">
        <v>95</v>
      </c>
      <c r="J9" s="2">
        <v>5.09</v>
      </c>
    </row>
    <row r="10" spans="1:10" x14ac:dyDescent="0.2">
      <c r="A10" t="s">
        <v>69</v>
      </c>
      <c r="B10" s="22">
        <v>11.6</v>
      </c>
      <c r="C10" s="23">
        <v>1</v>
      </c>
      <c r="E10" t="s">
        <v>68</v>
      </c>
      <c r="F10" s="22">
        <f>(5.59+6.18+5.56)/3</f>
        <v>5.7766666666666664</v>
      </c>
      <c r="G10" s="23">
        <v>3</v>
      </c>
      <c r="I10" s="1" t="s">
        <v>96</v>
      </c>
      <c r="J10" s="2">
        <v>5.63</v>
      </c>
    </row>
    <row r="11" spans="1:10" x14ac:dyDescent="0.2">
      <c r="A11" t="s">
        <v>66</v>
      </c>
      <c r="B11" s="20">
        <f>(8.8+7.72)/2</f>
        <v>8.26</v>
      </c>
      <c r="C11" s="21">
        <v>2</v>
      </c>
      <c r="E11" t="s">
        <v>65</v>
      </c>
      <c r="F11" s="24">
        <f>(7.22+3.53+9.14+7.5+7.46+6.96+6.91+6.85+1.63)/9</f>
        <v>6.3555555555555561</v>
      </c>
      <c r="G11" s="21">
        <v>9</v>
      </c>
      <c r="I11" s="1" t="s">
        <v>97</v>
      </c>
      <c r="J11" s="2">
        <v>5.51</v>
      </c>
    </row>
    <row r="12" spans="1:10" x14ac:dyDescent="0.2">
      <c r="A12" t="s">
        <v>63</v>
      </c>
      <c r="B12" s="20" t="s">
        <v>117</v>
      </c>
      <c r="C12" s="21">
        <v>0</v>
      </c>
      <c r="E12" t="s">
        <v>62</v>
      </c>
      <c r="F12" s="24" t="s">
        <v>117</v>
      </c>
      <c r="G12" s="21">
        <v>0</v>
      </c>
      <c r="I12" s="1" t="s">
        <v>74</v>
      </c>
      <c r="J12" s="2">
        <v>5.18</v>
      </c>
    </row>
    <row r="13" spans="1:10" x14ac:dyDescent="0.2">
      <c r="A13" t="s">
        <v>61</v>
      </c>
      <c r="B13" s="22" t="s">
        <v>117</v>
      </c>
      <c r="C13" s="23">
        <v>0</v>
      </c>
      <c r="E13" t="s">
        <v>60</v>
      </c>
      <c r="F13" s="22" t="s">
        <v>117</v>
      </c>
      <c r="G13" s="23">
        <v>0</v>
      </c>
      <c r="I13" s="1" t="s">
        <v>98</v>
      </c>
      <c r="J13" s="2">
        <v>4.8499999999999996</v>
      </c>
    </row>
    <row r="14" spans="1:10" x14ac:dyDescent="0.2">
      <c r="A14" t="s">
        <v>59</v>
      </c>
      <c r="B14" s="22">
        <v>5.58</v>
      </c>
      <c r="C14" s="23">
        <v>1</v>
      </c>
      <c r="E14" t="s">
        <v>58</v>
      </c>
      <c r="F14" s="22">
        <f>(8.38+8.3+8.7+8.31+9.59+7.22+8.73+7.76+7.79+6.55+7.85+8.6+8+7.9+8.75+8.59+7.06+7.61+8.31+8.34+8.33+8.57)/22</f>
        <v>8.1472727272727283</v>
      </c>
      <c r="G14" s="23">
        <v>22</v>
      </c>
      <c r="I14" s="1" t="s">
        <v>99</v>
      </c>
      <c r="J14" s="2">
        <v>5.24</v>
      </c>
    </row>
    <row r="15" spans="1:10" x14ac:dyDescent="0.2">
      <c r="A15" t="s">
        <v>57</v>
      </c>
      <c r="B15" s="20">
        <v>6.15</v>
      </c>
      <c r="C15" s="21">
        <v>1</v>
      </c>
      <c r="E15" t="s">
        <v>56</v>
      </c>
      <c r="F15" s="24" t="s">
        <v>117</v>
      </c>
      <c r="G15" s="21">
        <v>0</v>
      </c>
      <c r="I15" s="1" t="s">
        <v>100</v>
      </c>
      <c r="J15" s="2">
        <v>5.42</v>
      </c>
    </row>
    <row r="16" spans="1:10" x14ac:dyDescent="0.2">
      <c r="A16" t="s">
        <v>54</v>
      </c>
      <c r="B16" s="20">
        <f>(4.7+4.88+6.68)/3</f>
        <v>5.419999999999999</v>
      </c>
      <c r="C16" s="21">
        <v>3</v>
      </c>
      <c r="E16" t="s">
        <v>53</v>
      </c>
      <c r="F16" s="24">
        <v>9.9700000000000006</v>
      </c>
      <c r="G16" s="21">
        <v>1</v>
      </c>
      <c r="I16" s="1" t="s">
        <v>101</v>
      </c>
      <c r="J16" s="2">
        <v>5.66</v>
      </c>
    </row>
    <row r="17" spans="1:10" x14ac:dyDescent="0.2">
      <c r="A17" t="s">
        <v>52</v>
      </c>
      <c r="B17" s="22">
        <v>7.01</v>
      </c>
      <c r="C17" s="23">
        <v>1</v>
      </c>
      <c r="E17" t="s">
        <v>51</v>
      </c>
      <c r="F17" s="22">
        <f>(8.78+8.08+9.35+8.86+6.76+8.39+7+9.76+9.1+8.76)/10</f>
        <v>8.484</v>
      </c>
      <c r="G17" s="23">
        <v>10</v>
      </c>
      <c r="I17" s="1" t="s">
        <v>102</v>
      </c>
      <c r="J17" s="2">
        <v>4.95</v>
      </c>
    </row>
    <row r="18" spans="1:10" x14ac:dyDescent="0.2">
      <c r="A18" t="s">
        <v>49</v>
      </c>
      <c r="B18" s="22" t="s">
        <v>117</v>
      </c>
      <c r="C18" s="23">
        <v>0</v>
      </c>
      <c r="E18" t="s">
        <v>48</v>
      </c>
      <c r="F18" s="22">
        <f>(3.1+3.32+3.39+2.05+2.44+2.35+2.9+1.83+2.81+2.84+3.01+1.91+3.35+1.67+1.71+1.63+2.57+0.01+2.84+1.84+2.72)/21</f>
        <v>2.3947619047619044</v>
      </c>
      <c r="G18" s="23">
        <v>21</v>
      </c>
      <c r="I18" s="1" t="s">
        <v>103</v>
      </c>
      <c r="J18" s="2">
        <v>4.7300000000000004</v>
      </c>
    </row>
    <row r="19" spans="1:10" x14ac:dyDescent="0.2">
      <c r="A19" t="s">
        <v>46</v>
      </c>
      <c r="B19" s="20" t="s">
        <v>117</v>
      </c>
      <c r="C19" s="21">
        <v>0</v>
      </c>
      <c r="E19" t="s">
        <v>45</v>
      </c>
      <c r="F19" s="24">
        <f>(4.31+6.8+9.55)/3</f>
        <v>6.8866666666666667</v>
      </c>
      <c r="G19" s="21">
        <v>3</v>
      </c>
      <c r="I19" s="1" t="s">
        <v>67</v>
      </c>
      <c r="J19" s="2">
        <v>5.37</v>
      </c>
    </row>
    <row r="20" spans="1:10" x14ac:dyDescent="0.2">
      <c r="A20" t="s">
        <v>43</v>
      </c>
      <c r="B20" s="20">
        <f>(8.35+7.85+6.9+8.25+9.14+7.28)/6</f>
        <v>7.9616666666666669</v>
      </c>
      <c r="C20" s="21">
        <v>6</v>
      </c>
      <c r="E20" t="s">
        <v>42</v>
      </c>
      <c r="F20" s="24">
        <f>(6.37+5.57+5.42+4.8)/4</f>
        <v>5.54</v>
      </c>
      <c r="G20" s="21">
        <v>4</v>
      </c>
      <c r="I20" s="1" t="s">
        <v>64</v>
      </c>
      <c r="J20" s="2">
        <v>5.19</v>
      </c>
    </row>
    <row r="21" spans="1:10" x14ac:dyDescent="0.2">
      <c r="A21" t="s">
        <v>40</v>
      </c>
      <c r="B21" s="22" t="s">
        <v>117</v>
      </c>
      <c r="C21" s="23">
        <v>0</v>
      </c>
      <c r="E21" t="s">
        <v>39</v>
      </c>
      <c r="F21" s="22">
        <f>(6.64+9.77+8.14+8.88+7.42+9.18)/6</f>
        <v>8.3383333333333329</v>
      </c>
      <c r="G21" s="23">
        <v>6</v>
      </c>
      <c r="I21" s="1" t="s">
        <v>104</v>
      </c>
      <c r="J21" s="2">
        <v>4.3600000000000003</v>
      </c>
    </row>
    <row r="22" spans="1:10" x14ac:dyDescent="0.2">
      <c r="A22" t="s">
        <v>37</v>
      </c>
      <c r="B22" s="22">
        <v>5.81</v>
      </c>
      <c r="C22" s="23">
        <v>1</v>
      </c>
      <c r="E22" t="s">
        <v>36</v>
      </c>
      <c r="F22" s="22" t="s">
        <v>117</v>
      </c>
      <c r="G22" s="23">
        <v>0</v>
      </c>
      <c r="I22" s="1" t="s">
        <v>105</v>
      </c>
      <c r="J22" s="2">
        <v>5.57</v>
      </c>
    </row>
    <row r="23" spans="1:10" x14ac:dyDescent="0.2">
      <c r="A23" t="s">
        <v>35</v>
      </c>
      <c r="B23" s="20">
        <v>4.6100000000000003</v>
      </c>
      <c r="C23" s="21">
        <v>1</v>
      </c>
      <c r="E23" t="s">
        <v>34</v>
      </c>
      <c r="F23" s="24" t="s">
        <v>117</v>
      </c>
      <c r="G23" s="21">
        <v>0</v>
      </c>
      <c r="I23" s="1" t="s">
        <v>10</v>
      </c>
      <c r="J23" s="2">
        <v>5.75</v>
      </c>
    </row>
    <row r="24" spans="1:10" x14ac:dyDescent="0.2">
      <c r="A24" t="s">
        <v>32</v>
      </c>
      <c r="B24" s="20" t="s">
        <v>117</v>
      </c>
      <c r="C24" s="21">
        <v>0</v>
      </c>
      <c r="E24" t="s">
        <v>31</v>
      </c>
      <c r="F24" s="24" t="s">
        <v>117</v>
      </c>
      <c r="G24" s="21">
        <v>0</v>
      </c>
      <c r="I24" s="1" t="s">
        <v>115</v>
      </c>
      <c r="J24" s="2">
        <v>5.32</v>
      </c>
    </row>
    <row r="25" spans="1:10" x14ac:dyDescent="0.2">
      <c r="A25" t="s">
        <v>29</v>
      </c>
      <c r="B25" s="22">
        <f>(9.25+8.6+9.36)/3</f>
        <v>9.07</v>
      </c>
      <c r="C25" s="23">
        <v>3</v>
      </c>
      <c r="E25" t="s">
        <v>28</v>
      </c>
      <c r="F25" s="22">
        <v>4.41</v>
      </c>
      <c r="G25" s="23">
        <v>1</v>
      </c>
      <c r="I25" s="1" t="s">
        <v>106</v>
      </c>
      <c r="J25" s="2">
        <v>5.32</v>
      </c>
    </row>
    <row r="26" spans="1:10" x14ac:dyDescent="0.2">
      <c r="A26" t="s">
        <v>26</v>
      </c>
      <c r="B26" s="22" t="s">
        <v>117</v>
      </c>
      <c r="C26" s="23">
        <v>0</v>
      </c>
      <c r="E26" t="s">
        <v>25</v>
      </c>
      <c r="F26" s="22">
        <f>(4.9+3.33)/2</f>
        <v>4.1150000000000002</v>
      </c>
      <c r="G26" s="23">
        <v>2</v>
      </c>
      <c r="I26" s="1" t="s">
        <v>55</v>
      </c>
      <c r="J26" s="2">
        <v>5.36</v>
      </c>
    </row>
    <row r="27" spans="1:10" x14ac:dyDescent="0.2">
      <c r="A27" t="s">
        <v>23</v>
      </c>
      <c r="B27" s="20">
        <v>5.93</v>
      </c>
      <c r="C27" s="21">
        <v>1</v>
      </c>
      <c r="E27" t="s">
        <v>22</v>
      </c>
      <c r="F27" s="24">
        <f>(8.37+7.79+7.71+8.61+8.81+7.36)/6</f>
        <v>8.1083333333333343</v>
      </c>
      <c r="G27" s="21">
        <v>6</v>
      </c>
      <c r="I27" s="1" t="s">
        <v>116</v>
      </c>
      <c r="J27" s="2">
        <v>5.77</v>
      </c>
    </row>
    <row r="28" spans="1:10" x14ac:dyDescent="0.2">
      <c r="A28" t="s">
        <v>20</v>
      </c>
      <c r="B28" s="20">
        <f>(9.02+8.03+8.52+9.64+9.61+8.37+8.26)/7</f>
        <v>8.7785714285714267</v>
      </c>
      <c r="C28" s="21">
        <v>7</v>
      </c>
      <c r="E28" t="s">
        <v>19</v>
      </c>
      <c r="F28" s="20">
        <f>(6.31+6.41+6.09+6.53+5.73+6.34+5.99+6.4+8.26+6.73+6.5+4.94+7.4+6.4+3.67)/15</f>
        <v>6.246666666666667</v>
      </c>
      <c r="G28" s="21">
        <v>15</v>
      </c>
      <c r="I28" s="1" t="s">
        <v>107</v>
      </c>
      <c r="J28" s="2">
        <v>5.62</v>
      </c>
    </row>
    <row r="29" spans="1:10" x14ac:dyDescent="0.2">
      <c r="A29" t="s">
        <v>17</v>
      </c>
      <c r="B29" s="22">
        <f>(6.4+6.42+5.25+6.17)/4</f>
        <v>6.0600000000000005</v>
      </c>
      <c r="C29" s="23">
        <v>4</v>
      </c>
      <c r="E29" t="s">
        <v>16</v>
      </c>
      <c r="F29" s="22" t="s">
        <v>117</v>
      </c>
      <c r="G29" s="23">
        <v>0</v>
      </c>
      <c r="I29" s="1" t="s">
        <v>50</v>
      </c>
      <c r="J29" s="2">
        <v>4.5199999999999996</v>
      </c>
    </row>
    <row r="30" spans="1:10" x14ac:dyDescent="0.2">
      <c r="A30" t="s">
        <v>14</v>
      </c>
      <c r="B30" s="22">
        <v>4.79</v>
      </c>
      <c r="C30" s="23">
        <v>1</v>
      </c>
      <c r="E30" t="s">
        <v>13</v>
      </c>
      <c r="F30" s="22">
        <f>(6.81+7.22+6.29)/3</f>
        <v>6.7733333333333334</v>
      </c>
      <c r="G30" s="23">
        <v>3</v>
      </c>
      <c r="I30" s="1" t="s">
        <v>47</v>
      </c>
      <c r="J30" s="2">
        <v>5.18</v>
      </c>
    </row>
    <row r="31" spans="1:10" x14ac:dyDescent="0.2">
      <c r="A31" t="s">
        <v>12</v>
      </c>
      <c r="B31" s="20">
        <f>(7.9+8.54+3.1)/3</f>
        <v>6.5133333333333328</v>
      </c>
      <c r="C31" s="21">
        <v>3</v>
      </c>
      <c r="E31" t="s">
        <v>11</v>
      </c>
      <c r="F31" s="24">
        <v>5.33</v>
      </c>
      <c r="G31" s="21">
        <v>1</v>
      </c>
      <c r="I31" s="1" t="s">
        <v>44</v>
      </c>
      <c r="J31" s="2">
        <v>5.55</v>
      </c>
    </row>
    <row r="32" spans="1:10" x14ac:dyDescent="0.2">
      <c r="A32" t="s">
        <v>10</v>
      </c>
      <c r="B32" s="20" t="s">
        <v>117</v>
      </c>
      <c r="C32" s="21">
        <v>0</v>
      </c>
      <c r="E32" t="s">
        <v>9</v>
      </c>
      <c r="F32" s="24">
        <f>(6.19+6.78+7.97+6.84+9.35)/5</f>
        <v>7.4260000000000002</v>
      </c>
      <c r="G32" s="21">
        <v>5</v>
      </c>
      <c r="I32" s="1" t="s">
        <v>41</v>
      </c>
      <c r="J32" s="2">
        <v>5.07</v>
      </c>
    </row>
    <row r="33" spans="1:10" x14ac:dyDescent="0.2">
      <c r="A33" t="s">
        <v>8</v>
      </c>
      <c r="B33" s="22" t="s">
        <v>117</v>
      </c>
      <c r="C33" s="23">
        <v>0</v>
      </c>
      <c r="E33" t="s">
        <v>7</v>
      </c>
      <c r="F33" s="22">
        <v>10.35</v>
      </c>
      <c r="G33" s="23">
        <v>1</v>
      </c>
      <c r="I33" s="1" t="s">
        <v>38</v>
      </c>
      <c r="J33" s="2">
        <v>5.2</v>
      </c>
    </row>
    <row r="34" spans="1:10" x14ac:dyDescent="0.2">
      <c r="A34" t="s">
        <v>6</v>
      </c>
      <c r="B34" s="22" t="s">
        <v>117</v>
      </c>
      <c r="C34" s="23">
        <v>0</v>
      </c>
      <c r="E34" t="s">
        <v>5</v>
      </c>
      <c r="F34" s="22">
        <v>4.1900000000000004</v>
      </c>
      <c r="G34" s="23">
        <v>1</v>
      </c>
      <c r="I34" s="1" t="s">
        <v>108</v>
      </c>
      <c r="J34" s="2">
        <v>5.14</v>
      </c>
    </row>
    <row r="35" spans="1:10" x14ac:dyDescent="0.2">
      <c r="A35" t="s">
        <v>4</v>
      </c>
      <c r="B35" s="20" t="s">
        <v>117</v>
      </c>
      <c r="C35" s="21">
        <v>0</v>
      </c>
      <c r="E35" t="s">
        <v>3</v>
      </c>
      <c r="F35" s="24">
        <f>(6.05+5.17)/2</f>
        <v>5.6099999999999994</v>
      </c>
      <c r="G35" s="21">
        <v>2</v>
      </c>
      <c r="I35" s="1" t="s">
        <v>109</v>
      </c>
      <c r="J35" s="2">
        <v>4.71</v>
      </c>
    </row>
    <row r="36" spans="1:10" x14ac:dyDescent="0.2">
      <c r="A36" t="s">
        <v>2</v>
      </c>
      <c r="B36" s="20" t="s">
        <v>117</v>
      </c>
      <c r="C36" s="21">
        <v>0</v>
      </c>
      <c r="E36" t="s">
        <v>1</v>
      </c>
      <c r="F36" s="24">
        <f>(10.24+8.83)/2</f>
        <v>9.5350000000000001</v>
      </c>
      <c r="G36" s="21">
        <v>2</v>
      </c>
      <c r="I36" s="1" t="s">
        <v>110</v>
      </c>
      <c r="J36" s="2">
        <v>5.23</v>
      </c>
    </row>
    <row r="37" spans="1:10" x14ac:dyDescent="0.2">
      <c r="A37" t="s">
        <v>0</v>
      </c>
      <c r="B37" s="22" t="s">
        <v>117</v>
      </c>
      <c r="C37" s="23">
        <v>0</v>
      </c>
      <c r="I37" s="1" t="s">
        <v>111</v>
      </c>
      <c r="J37" s="2">
        <v>4.97</v>
      </c>
    </row>
    <row r="38" spans="1:10" x14ac:dyDescent="0.2">
      <c r="B38" s="7"/>
      <c r="I38" s="1" t="s">
        <v>33</v>
      </c>
      <c r="J38" s="2">
        <v>5.34</v>
      </c>
    </row>
    <row r="39" spans="1:10" x14ac:dyDescent="0.2">
      <c r="B39" s="7"/>
      <c r="I39" s="1" t="s">
        <v>30</v>
      </c>
      <c r="J39" s="2">
        <v>5.24</v>
      </c>
    </row>
    <row r="40" spans="1:10" x14ac:dyDescent="0.2">
      <c r="I40" s="1" t="s">
        <v>27</v>
      </c>
      <c r="J40" s="2">
        <v>5.64</v>
      </c>
    </row>
    <row r="41" spans="1:10" x14ac:dyDescent="0.2">
      <c r="I41" s="1" t="s">
        <v>24</v>
      </c>
      <c r="J41" s="2">
        <v>5.15</v>
      </c>
    </row>
    <row r="42" spans="1:10" x14ac:dyDescent="0.2">
      <c r="I42" s="1" t="s">
        <v>21</v>
      </c>
      <c r="J42" s="2">
        <v>5.19</v>
      </c>
    </row>
    <row r="43" spans="1:10" x14ac:dyDescent="0.2">
      <c r="I43" s="1" t="s">
        <v>113</v>
      </c>
      <c r="J43" s="2">
        <v>4.88</v>
      </c>
    </row>
    <row r="44" spans="1:10" x14ac:dyDescent="0.2">
      <c r="I44" s="1" t="s">
        <v>18</v>
      </c>
      <c r="J44" s="2">
        <v>5.4</v>
      </c>
    </row>
    <row r="45" spans="1:10" x14ac:dyDescent="0.2">
      <c r="I45" s="1" t="s">
        <v>112</v>
      </c>
      <c r="J45" s="2">
        <v>5.16</v>
      </c>
    </row>
    <row r="46" spans="1:10" x14ac:dyDescent="0.2">
      <c r="I46" s="1" t="s">
        <v>15</v>
      </c>
      <c r="J46" s="2">
        <v>5.3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5"/>
  <sheetViews>
    <sheetView topLeftCell="E1" workbookViewId="0">
      <selection activeCell="F37" sqref="F37"/>
    </sheetView>
  </sheetViews>
  <sheetFormatPr baseColWidth="10" defaultColWidth="8.83203125" defaultRowHeight="15" x14ac:dyDescent="0.2"/>
  <cols>
    <col min="1" max="1" width="13.5" customWidth="1"/>
    <col min="2" max="2" width="17" customWidth="1"/>
    <col min="3" max="3" width="13.832031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257" max="257" width="13.5" customWidth="1"/>
    <col min="258" max="258" width="17" customWidth="1"/>
    <col min="259" max="259" width="13.83203125" customWidth="1"/>
    <col min="261" max="261" width="13" customWidth="1"/>
    <col min="262" max="262" width="17.33203125" customWidth="1"/>
    <col min="263" max="263" width="12.5" customWidth="1"/>
    <col min="264" max="264" width="17" customWidth="1"/>
    <col min="265" max="265" width="13.5" customWidth="1"/>
    <col min="513" max="513" width="13.5" customWidth="1"/>
    <col min="514" max="514" width="17" customWidth="1"/>
    <col min="515" max="515" width="13.83203125" customWidth="1"/>
    <col min="517" max="517" width="13" customWidth="1"/>
    <col min="518" max="518" width="17.33203125" customWidth="1"/>
    <col min="519" max="519" width="12.5" customWidth="1"/>
    <col min="520" max="520" width="17" customWidth="1"/>
    <col min="521" max="521" width="13.5" customWidth="1"/>
    <col min="769" max="769" width="13.5" customWidth="1"/>
    <col min="770" max="770" width="17" customWidth="1"/>
    <col min="771" max="771" width="13.83203125" customWidth="1"/>
    <col min="773" max="773" width="13" customWidth="1"/>
    <col min="774" max="774" width="17.33203125" customWidth="1"/>
    <col min="775" max="775" width="12.5" customWidth="1"/>
    <col min="776" max="776" width="17" customWidth="1"/>
    <col min="777" max="777" width="13.5" customWidth="1"/>
    <col min="1025" max="1025" width="13.5" customWidth="1"/>
    <col min="1026" max="1026" width="17" customWidth="1"/>
    <col min="1027" max="1027" width="13.83203125" customWidth="1"/>
    <col min="1029" max="1029" width="13" customWidth="1"/>
    <col min="1030" max="1030" width="17.33203125" customWidth="1"/>
    <col min="1031" max="1031" width="12.5" customWidth="1"/>
    <col min="1032" max="1032" width="17" customWidth="1"/>
    <col min="1033" max="1033" width="13.5" customWidth="1"/>
    <col min="1281" max="1281" width="13.5" customWidth="1"/>
    <col min="1282" max="1282" width="17" customWidth="1"/>
    <col min="1283" max="1283" width="13.83203125" customWidth="1"/>
    <col min="1285" max="1285" width="13" customWidth="1"/>
    <col min="1286" max="1286" width="17.33203125" customWidth="1"/>
    <col min="1287" max="1287" width="12.5" customWidth="1"/>
    <col min="1288" max="1288" width="17" customWidth="1"/>
    <col min="1289" max="1289" width="13.5" customWidth="1"/>
    <col min="1537" max="1537" width="13.5" customWidth="1"/>
    <col min="1538" max="1538" width="17" customWidth="1"/>
    <col min="1539" max="1539" width="13.83203125" customWidth="1"/>
    <col min="1541" max="1541" width="13" customWidth="1"/>
    <col min="1542" max="1542" width="17.33203125" customWidth="1"/>
    <col min="1543" max="1543" width="12.5" customWidth="1"/>
    <col min="1544" max="1544" width="17" customWidth="1"/>
    <col min="1545" max="1545" width="13.5" customWidth="1"/>
    <col min="1793" max="1793" width="13.5" customWidth="1"/>
    <col min="1794" max="1794" width="17" customWidth="1"/>
    <col min="1795" max="1795" width="13.83203125" customWidth="1"/>
    <col min="1797" max="1797" width="13" customWidth="1"/>
    <col min="1798" max="1798" width="17.33203125" customWidth="1"/>
    <col min="1799" max="1799" width="12.5" customWidth="1"/>
    <col min="1800" max="1800" width="17" customWidth="1"/>
    <col min="1801" max="1801" width="13.5" customWidth="1"/>
    <col min="2049" max="2049" width="13.5" customWidth="1"/>
    <col min="2050" max="2050" width="17" customWidth="1"/>
    <col min="2051" max="2051" width="13.83203125" customWidth="1"/>
    <col min="2053" max="2053" width="13" customWidth="1"/>
    <col min="2054" max="2054" width="17.33203125" customWidth="1"/>
    <col min="2055" max="2055" width="12.5" customWidth="1"/>
    <col min="2056" max="2056" width="17" customWidth="1"/>
    <col min="2057" max="2057" width="13.5" customWidth="1"/>
    <col min="2305" max="2305" width="13.5" customWidth="1"/>
    <col min="2306" max="2306" width="17" customWidth="1"/>
    <col min="2307" max="2307" width="13.83203125" customWidth="1"/>
    <col min="2309" max="2309" width="13" customWidth="1"/>
    <col min="2310" max="2310" width="17.33203125" customWidth="1"/>
    <col min="2311" max="2311" width="12.5" customWidth="1"/>
    <col min="2312" max="2312" width="17" customWidth="1"/>
    <col min="2313" max="2313" width="13.5" customWidth="1"/>
    <col min="2561" max="2561" width="13.5" customWidth="1"/>
    <col min="2562" max="2562" width="17" customWidth="1"/>
    <col min="2563" max="2563" width="13.83203125" customWidth="1"/>
    <col min="2565" max="2565" width="13" customWidth="1"/>
    <col min="2566" max="2566" width="17.33203125" customWidth="1"/>
    <col min="2567" max="2567" width="12.5" customWidth="1"/>
    <col min="2568" max="2568" width="17" customWidth="1"/>
    <col min="2569" max="2569" width="13.5" customWidth="1"/>
    <col min="2817" max="2817" width="13.5" customWidth="1"/>
    <col min="2818" max="2818" width="17" customWidth="1"/>
    <col min="2819" max="2819" width="13.83203125" customWidth="1"/>
    <col min="2821" max="2821" width="13" customWidth="1"/>
    <col min="2822" max="2822" width="17.33203125" customWidth="1"/>
    <col min="2823" max="2823" width="12.5" customWidth="1"/>
    <col min="2824" max="2824" width="17" customWidth="1"/>
    <col min="2825" max="2825" width="13.5" customWidth="1"/>
    <col min="3073" max="3073" width="13.5" customWidth="1"/>
    <col min="3074" max="3074" width="17" customWidth="1"/>
    <col min="3075" max="3075" width="13.83203125" customWidth="1"/>
    <col min="3077" max="3077" width="13" customWidth="1"/>
    <col min="3078" max="3078" width="17.33203125" customWidth="1"/>
    <col min="3079" max="3079" width="12.5" customWidth="1"/>
    <col min="3080" max="3080" width="17" customWidth="1"/>
    <col min="3081" max="3081" width="13.5" customWidth="1"/>
    <col min="3329" max="3329" width="13.5" customWidth="1"/>
    <col min="3330" max="3330" width="17" customWidth="1"/>
    <col min="3331" max="3331" width="13.83203125" customWidth="1"/>
    <col min="3333" max="3333" width="13" customWidth="1"/>
    <col min="3334" max="3334" width="17.33203125" customWidth="1"/>
    <col min="3335" max="3335" width="12.5" customWidth="1"/>
    <col min="3336" max="3336" width="17" customWidth="1"/>
    <col min="3337" max="3337" width="13.5" customWidth="1"/>
    <col min="3585" max="3585" width="13.5" customWidth="1"/>
    <col min="3586" max="3586" width="17" customWidth="1"/>
    <col min="3587" max="3587" width="13.83203125" customWidth="1"/>
    <col min="3589" max="3589" width="13" customWidth="1"/>
    <col min="3590" max="3590" width="17.33203125" customWidth="1"/>
    <col min="3591" max="3591" width="12.5" customWidth="1"/>
    <col min="3592" max="3592" width="17" customWidth="1"/>
    <col min="3593" max="3593" width="13.5" customWidth="1"/>
    <col min="3841" max="3841" width="13.5" customWidth="1"/>
    <col min="3842" max="3842" width="17" customWidth="1"/>
    <col min="3843" max="3843" width="13.83203125" customWidth="1"/>
    <col min="3845" max="3845" width="13" customWidth="1"/>
    <col min="3846" max="3846" width="17.33203125" customWidth="1"/>
    <col min="3847" max="3847" width="12.5" customWidth="1"/>
    <col min="3848" max="3848" width="17" customWidth="1"/>
    <col min="3849" max="3849" width="13.5" customWidth="1"/>
    <col min="4097" max="4097" width="13.5" customWidth="1"/>
    <col min="4098" max="4098" width="17" customWidth="1"/>
    <col min="4099" max="4099" width="13.83203125" customWidth="1"/>
    <col min="4101" max="4101" width="13" customWidth="1"/>
    <col min="4102" max="4102" width="17.33203125" customWidth="1"/>
    <col min="4103" max="4103" width="12.5" customWidth="1"/>
    <col min="4104" max="4104" width="17" customWidth="1"/>
    <col min="4105" max="4105" width="13.5" customWidth="1"/>
    <col min="4353" max="4353" width="13.5" customWidth="1"/>
    <col min="4354" max="4354" width="17" customWidth="1"/>
    <col min="4355" max="4355" width="13.83203125" customWidth="1"/>
    <col min="4357" max="4357" width="13" customWidth="1"/>
    <col min="4358" max="4358" width="17.33203125" customWidth="1"/>
    <col min="4359" max="4359" width="12.5" customWidth="1"/>
    <col min="4360" max="4360" width="17" customWidth="1"/>
    <col min="4361" max="4361" width="13.5" customWidth="1"/>
    <col min="4609" max="4609" width="13.5" customWidth="1"/>
    <col min="4610" max="4610" width="17" customWidth="1"/>
    <col min="4611" max="4611" width="13.83203125" customWidth="1"/>
    <col min="4613" max="4613" width="13" customWidth="1"/>
    <col min="4614" max="4614" width="17.33203125" customWidth="1"/>
    <col min="4615" max="4615" width="12.5" customWidth="1"/>
    <col min="4616" max="4616" width="17" customWidth="1"/>
    <col min="4617" max="4617" width="13.5" customWidth="1"/>
    <col min="4865" max="4865" width="13.5" customWidth="1"/>
    <col min="4866" max="4866" width="17" customWidth="1"/>
    <col min="4867" max="4867" width="13.83203125" customWidth="1"/>
    <col min="4869" max="4869" width="13" customWidth="1"/>
    <col min="4870" max="4870" width="17.33203125" customWidth="1"/>
    <col min="4871" max="4871" width="12.5" customWidth="1"/>
    <col min="4872" max="4872" width="17" customWidth="1"/>
    <col min="4873" max="4873" width="13.5" customWidth="1"/>
    <col min="5121" max="5121" width="13.5" customWidth="1"/>
    <col min="5122" max="5122" width="17" customWidth="1"/>
    <col min="5123" max="5123" width="13.83203125" customWidth="1"/>
    <col min="5125" max="5125" width="13" customWidth="1"/>
    <col min="5126" max="5126" width="17.33203125" customWidth="1"/>
    <col min="5127" max="5127" width="12.5" customWidth="1"/>
    <col min="5128" max="5128" width="17" customWidth="1"/>
    <col min="5129" max="5129" width="13.5" customWidth="1"/>
    <col min="5377" max="5377" width="13.5" customWidth="1"/>
    <col min="5378" max="5378" width="17" customWidth="1"/>
    <col min="5379" max="5379" width="13.83203125" customWidth="1"/>
    <col min="5381" max="5381" width="13" customWidth="1"/>
    <col min="5382" max="5382" width="17.33203125" customWidth="1"/>
    <col min="5383" max="5383" width="12.5" customWidth="1"/>
    <col min="5384" max="5384" width="17" customWidth="1"/>
    <col min="5385" max="5385" width="13.5" customWidth="1"/>
    <col min="5633" max="5633" width="13.5" customWidth="1"/>
    <col min="5634" max="5634" width="17" customWidth="1"/>
    <col min="5635" max="5635" width="13.83203125" customWidth="1"/>
    <col min="5637" max="5637" width="13" customWidth="1"/>
    <col min="5638" max="5638" width="17.33203125" customWidth="1"/>
    <col min="5639" max="5639" width="12.5" customWidth="1"/>
    <col min="5640" max="5640" width="17" customWidth="1"/>
    <col min="5641" max="5641" width="13.5" customWidth="1"/>
    <col min="5889" max="5889" width="13.5" customWidth="1"/>
    <col min="5890" max="5890" width="17" customWidth="1"/>
    <col min="5891" max="5891" width="13.83203125" customWidth="1"/>
    <col min="5893" max="5893" width="13" customWidth="1"/>
    <col min="5894" max="5894" width="17.33203125" customWidth="1"/>
    <col min="5895" max="5895" width="12.5" customWidth="1"/>
    <col min="5896" max="5896" width="17" customWidth="1"/>
    <col min="5897" max="5897" width="13.5" customWidth="1"/>
    <col min="6145" max="6145" width="13.5" customWidth="1"/>
    <col min="6146" max="6146" width="17" customWidth="1"/>
    <col min="6147" max="6147" width="13.83203125" customWidth="1"/>
    <col min="6149" max="6149" width="13" customWidth="1"/>
    <col min="6150" max="6150" width="17.33203125" customWidth="1"/>
    <col min="6151" max="6151" width="12.5" customWidth="1"/>
    <col min="6152" max="6152" width="17" customWidth="1"/>
    <col min="6153" max="6153" width="13.5" customWidth="1"/>
    <col min="6401" max="6401" width="13.5" customWidth="1"/>
    <col min="6402" max="6402" width="17" customWidth="1"/>
    <col min="6403" max="6403" width="13.83203125" customWidth="1"/>
    <col min="6405" max="6405" width="13" customWidth="1"/>
    <col min="6406" max="6406" width="17.33203125" customWidth="1"/>
    <col min="6407" max="6407" width="12.5" customWidth="1"/>
    <col min="6408" max="6408" width="17" customWidth="1"/>
    <col min="6409" max="6409" width="13.5" customWidth="1"/>
    <col min="6657" max="6657" width="13.5" customWidth="1"/>
    <col min="6658" max="6658" width="17" customWidth="1"/>
    <col min="6659" max="6659" width="13.83203125" customWidth="1"/>
    <col min="6661" max="6661" width="13" customWidth="1"/>
    <col min="6662" max="6662" width="17.33203125" customWidth="1"/>
    <col min="6663" max="6663" width="12.5" customWidth="1"/>
    <col min="6664" max="6664" width="17" customWidth="1"/>
    <col min="6665" max="6665" width="13.5" customWidth="1"/>
    <col min="6913" max="6913" width="13.5" customWidth="1"/>
    <col min="6914" max="6914" width="17" customWidth="1"/>
    <col min="6915" max="6915" width="13.83203125" customWidth="1"/>
    <col min="6917" max="6917" width="13" customWidth="1"/>
    <col min="6918" max="6918" width="17.33203125" customWidth="1"/>
    <col min="6919" max="6919" width="12.5" customWidth="1"/>
    <col min="6920" max="6920" width="17" customWidth="1"/>
    <col min="6921" max="6921" width="13.5" customWidth="1"/>
    <col min="7169" max="7169" width="13.5" customWidth="1"/>
    <col min="7170" max="7170" width="17" customWidth="1"/>
    <col min="7171" max="7171" width="13.83203125" customWidth="1"/>
    <col min="7173" max="7173" width="13" customWidth="1"/>
    <col min="7174" max="7174" width="17.33203125" customWidth="1"/>
    <col min="7175" max="7175" width="12.5" customWidth="1"/>
    <col min="7176" max="7176" width="17" customWidth="1"/>
    <col min="7177" max="7177" width="13.5" customWidth="1"/>
    <col min="7425" max="7425" width="13.5" customWidth="1"/>
    <col min="7426" max="7426" width="17" customWidth="1"/>
    <col min="7427" max="7427" width="13.83203125" customWidth="1"/>
    <col min="7429" max="7429" width="13" customWidth="1"/>
    <col min="7430" max="7430" width="17.33203125" customWidth="1"/>
    <col min="7431" max="7431" width="12.5" customWidth="1"/>
    <col min="7432" max="7432" width="17" customWidth="1"/>
    <col min="7433" max="7433" width="13.5" customWidth="1"/>
    <col min="7681" max="7681" width="13.5" customWidth="1"/>
    <col min="7682" max="7682" width="17" customWidth="1"/>
    <col min="7683" max="7683" width="13.83203125" customWidth="1"/>
    <col min="7685" max="7685" width="13" customWidth="1"/>
    <col min="7686" max="7686" width="17.33203125" customWidth="1"/>
    <col min="7687" max="7687" width="12.5" customWidth="1"/>
    <col min="7688" max="7688" width="17" customWidth="1"/>
    <col min="7689" max="7689" width="13.5" customWidth="1"/>
    <col min="7937" max="7937" width="13.5" customWidth="1"/>
    <col min="7938" max="7938" width="17" customWidth="1"/>
    <col min="7939" max="7939" width="13.83203125" customWidth="1"/>
    <col min="7941" max="7941" width="13" customWidth="1"/>
    <col min="7942" max="7942" width="17.33203125" customWidth="1"/>
    <col min="7943" max="7943" width="12.5" customWidth="1"/>
    <col min="7944" max="7944" width="17" customWidth="1"/>
    <col min="7945" max="7945" width="13.5" customWidth="1"/>
    <col min="8193" max="8193" width="13.5" customWidth="1"/>
    <col min="8194" max="8194" width="17" customWidth="1"/>
    <col min="8195" max="8195" width="13.83203125" customWidth="1"/>
    <col min="8197" max="8197" width="13" customWidth="1"/>
    <col min="8198" max="8198" width="17.33203125" customWidth="1"/>
    <col min="8199" max="8199" width="12.5" customWidth="1"/>
    <col min="8200" max="8200" width="17" customWidth="1"/>
    <col min="8201" max="8201" width="13.5" customWidth="1"/>
    <col min="8449" max="8449" width="13.5" customWidth="1"/>
    <col min="8450" max="8450" width="17" customWidth="1"/>
    <col min="8451" max="8451" width="13.83203125" customWidth="1"/>
    <col min="8453" max="8453" width="13" customWidth="1"/>
    <col min="8454" max="8454" width="17.33203125" customWidth="1"/>
    <col min="8455" max="8455" width="12.5" customWidth="1"/>
    <col min="8456" max="8456" width="17" customWidth="1"/>
    <col min="8457" max="8457" width="13.5" customWidth="1"/>
    <col min="8705" max="8705" width="13.5" customWidth="1"/>
    <col min="8706" max="8706" width="17" customWidth="1"/>
    <col min="8707" max="8707" width="13.83203125" customWidth="1"/>
    <col min="8709" max="8709" width="13" customWidth="1"/>
    <col min="8710" max="8710" width="17.33203125" customWidth="1"/>
    <col min="8711" max="8711" width="12.5" customWidth="1"/>
    <col min="8712" max="8712" width="17" customWidth="1"/>
    <col min="8713" max="8713" width="13.5" customWidth="1"/>
    <col min="8961" max="8961" width="13.5" customWidth="1"/>
    <col min="8962" max="8962" width="17" customWidth="1"/>
    <col min="8963" max="8963" width="13.83203125" customWidth="1"/>
    <col min="8965" max="8965" width="13" customWidth="1"/>
    <col min="8966" max="8966" width="17.33203125" customWidth="1"/>
    <col min="8967" max="8967" width="12.5" customWidth="1"/>
    <col min="8968" max="8968" width="17" customWidth="1"/>
    <col min="8969" max="8969" width="13.5" customWidth="1"/>
    <col min="9217" max="9217" width="13.5" customWidth="1"/>
    <col min="9218" max="9218" width="17" customWidth="1"/>
    <col min="9219" max="9219" width="13.83203125" customWidth="1"/>
    <col min="9221" max="9221" width="13" customWidth="1"/>
    <col min="9222" max="9222" width="17.33203125" customWidth="1"/>
    <col min="9223" max="9223" width="12.5" customWidth="1"/>
    <col min="9224" max="9224" width="17" customWidth="1"/>
    <col min="9225" max="9225" width="13.5" customWidth="1"/>
    <col min="9473" max="9473" width="13.5" customWidth="1"/>
    <col min="9474" max="9474" width="17" customWidth="1"/>
    <col min="9475" max="9475" width="13.83203125" customWidth="1"/>
    <col min="9477" max="9477" width="13" customWidth="1"/>
    <col min="9478" max="9478" width="17.33203125" customWidth="1"/>
    <col min="9479" max="9479" width="12.5" customWidth="1"/>
    <col min="9480" max="9480" width="17" customWidth="1"/>
    <col min="9481" max="9481" width="13.5" customWidth="1"/>
    <col min="9729" max="9729" width="13.5" customWidth="1"/>
    <col min="9730" max="9730" width="17" customWidth="1"/>
    <col min="9731" max="9731" width="13.83203125" customWidth="1"/>
    <col min="9733" max="9733" width="13" customWidth="1"/>
    <col min="9734" max="9734" width="17.33203125" customWidth="1"/>
    <col min="9735" max="9735" width="12.5" customWidth="1"/>
    <col min="9736" max="9736" width="17" customWidth="1"/>
    <col min="9737" max="9737" width="13.5" customWidth="1"/>
    <col min="9985" max="9985" width="13.5" customWidth="1"/>
    <col min="9986" max="9986" width="17" customWidth="1"/>
    <col min="9987" max="9987" width="13.83203125" customWidth="1"/>
    <col min="9989" max="9989" width="13" customWidth="1"/>
    <col min="9990" max="9990" width="17.33203125" customWidth="1"/>
    <col min="9991" max="9991" width="12.5" customWidth="1"/>
    <col min="9992" max="9992" width="17" customWidth="1"/>
    <col min="9993" max="9993" width="13.5" customWidth="1"/>
    <col min="10241" max="10241" width="13.5" customWidth="1"/>
    <col min="10242" max="10242" width="17" customWidth="1"/>
    <col min="10243" max="10243" width="13.83203125" customWidth="1"/>
    <col min="10245" max="10245" width="13" customWidth="1"/>
    <col min="10246" max="10246" width="17.33203125" customWidth="1"/>
    <col min="10247" max="10247" width="12.5" customWidth="1"/>
    <col min="10248" max="10248" width="17" customWidth="1"/>
    <col min="10249" max="10249" width="13.5" customWidth="1"/>
    <col min="10497" max="10497" width="13.5" customWidth="1"/>
    <col min="10498" max="10498" width="17" customWidth="1"/>
    <col min="10499" max="10499" width="13.83203125" customWidth="1"/>
    <col min="10501" max="10501" width="13" customWidth="1"/>
    <col min="10502" max="10502" width="17.33203125" customWidth="1"/>
    <col min="10503" max="10503" width="12.5" customWidth="1"/>
    <col min="10504" max="10504" width="17" customWidth="1"/>
    <col min="10505" max="10505" width="13.5" customWidth="1"/>
    <col min="10753" max="10753" width="13.5" customWidth="1"/>
    <col min="10754" max="10754" width="17" customWidth="1"/>
    <col min="10755" max="10755" width="13.83203125" customWidth="1"/>
    <col min="10757" max="10757" width="13" customWidth="1"/>
    <col min="10758" max="10758" width="17.33203125" customWidth="1"/>
    <col min="10759" max="10759" width="12.5" customWidth="1"/>
    <col min="10760" max="10760" width="17" customWidth="1"/>
    <col min="10761" max="10761" width="13.5" customWidth="1"/>
    <col min="11009" max="11009" width="13.5" customWidth="1"/>
    <col min="11010" max="11010" width="17" customWidth="1"/>
    <col min="11011" max="11011" width="13.83203125" customWidth="1"/>
    <col min="11013" max="11013" width="13" customWidth="1"/>
    <col min="11014" max="11014" width="17.33203125" customWidth="1"/>
    <col min="11015" max="11015" width="12.5" customWidth="1"/>
    <col min="11016" max="11016" width="17" customWidth="1"/>
    <col min="11017" max="11017" width="13.5" customWidth="1"/>
    <col min="11265" max="11265" width="13.5" customWidth="1"/>
    <col min="11266" max="11266" width="17" customWidth="1"/>
    <col min="11267" max="11267" width="13.83203125" customWidth="1"/>
    <col min="11269" max="11269" width="13" customWidth="1"/>
    <col min="11270" max="11270" width="17.33203125" customWidth="1"/>
    <col min="11271" max="11271" width="12.5" customWidth="1"/>
    <col min="11272" max="11272" width="17" customWidth="1"/>
    <col min="11273" max="11273" width="13.5" customWidth="1"/>
    <col min="11521" max="11521" width="13.5" customWidth="1"/>
    <col min="11522" max="11522" width="17" customWidth="1"/>
    <col min="11523" max="11523" width="13.83203125" customWidth="1"/>
    <col min="11525" max="11525" width="13" customWidth="1"/>
    <col min="11526" max="11526" width="17.33203125" customWidth="1"/>
    <col min="11527" max="11527" width="12.5" customWidth="1"/>
    <col min="11528" max="11528" width="17" customWidth="1"/>
    <col min="11529" max="11529" width="13.5" customWidth="1"/>
    <col min="11777" max="11777" width="13.5" customWidth="1"/>
    <col min="11778" max="11778" width="17" customWidth="1"/>
    <col min="11779" max="11779" width="13.83203125" customWidth="1"/>
    <col min="11781" max="11781" width="13" customWidth="1"/>
    <col min="11782" max="11782" width="17.33203125" customWidth="1"/>
    <col min="11783" max="11783" width="12.5" customWidth="1"/>
    <col min="11784" max="11784" width="17" customWidth="1"/>
    <col min="11785" max="11785" width="13.5" customWidth="1"/>
    <col min="12033" max="12033" width="13.5" customWidth="1"/>
    <col min="12034" max="12034" width="17" customWidth="1"/>
    <col min="12035" max="12035" width="13.83203125" customWidth="1"/>
    <col min="12037" max="12037" width="13" customWidth="1"/>
    <col min="12038" max="12038" width="17.33203125" customWidth="1"/>
    <col min="12039" max="12039" width="12.5" customWidth="1"/>
    <col min="12040" max="12040" width="17" customWidth="1"/>
    <col min="12041" max="12041" width="13.5" customWidth="1"/>
    <col min="12289" max="12289" width="13.5" customWidth="1"/>
    <col min="12290" max="12290" width="17" customWidth="1"/>
    <col min="12291" max="12291" width="13.83203125" customWidth="1"/>
    <col min="12293" max="12293" width="13" customWidth="1"/>
    <col min="12294" max="12294" width="17.33203125" customWidth="1"/>
    <col min="12295" max="12295" width="12.5" customWidth="1"/>
    <col min="12296" max="12296" width="17" customWidth="1"/>
    <col min="12297" max="12297" width="13.5" customWidth="1"/>
    <col min="12545" max="12545" width="13.5" customWidth="1"/>
    <col min="12546" max="12546" width="17" customWidth="1"/>
    <col min="12547" max="12547" width="13.83203125" customWidth="1"/>
    <col min="12549" max="12549" width="13" customWidth="1"/>
    <col min="12550" max="12550" width="17.33203125" customWidth="1"/>
    <col min="12551" max="12551" width="12.5" customWidth="1"/>
    <col min="12552" max="12552" width="17" customWidth="1"/>
    <col min="12553" max="12553" width="13.5" customWidth="1"/>
    <col min="12801" max="12801" width="13.5" customWidth="1"/>
    <col min="12802" max="12802" width="17" customWidth="1"/>
    <col min="12803" max="12803" width="13.83203125" customWidth="1"/>
    <col min="12805" max="12805" width="13" customWidth="1"/>
    <col min="12806" max="12806" width="17.33203125" customWidth="1"/>
    <col min="12807" max="12807" width="12.5" customWidth="1"/>
    <col min="12808" max="12808" width="17" customWidth="1"/>
    <col min="12809" max="12809" width="13.5" customWidth="1"/>
    <col min="13057" max="13057" width="13.5" customWidth="1"/>
    <col min="13058" max="13058" width="17" customWidth="1"/>
    <col min="13059" max="13059" width="13.83203125" customWidth="1"/>
    <col min="13061" max="13061" width="13" customWidth="1"/>
    <col min="13062" max="13062" width="17.33203125" customWidth="1"/>
    <col min="13063" max="13063" width="12.5" customWidth="1"/>
    <col min="13064" max="13064" width="17" customWidth="1"/>
    <col min="13065" max="13065" width="13.5" customWidth="1"/>
    <col min="13313" max="13313" width="13.5" customWidth="1"/>
    <col min="13314" max="13314" width="17" customWidth="1"/>
    <col min="13315" max="13315" width="13.83203125" customWidth="1"/>
    <col min="13317" max="13317" width="13" customWidth="1"/>
    <col min="13318" max="13318" width="17.33203125" customWidth="1"/>
    <col min="13319" max="13319" width="12.5" customWidth="1"/>
    <col min="13320" max="13320" width="17" customWidth="1"/>
    <col min="13321" max="13321" width="13.5" customWidth="1"/>
    <col min="13569" max="13569" width="13.5" customWidth="1"/>
    <col min="13570" max="13570" width="17" customWidth="1"/>
    <col min="13571" max="13571" width="13.83203125" customWidth="1"/>
    <col min="13573" max="13573" width="13" customWidth="1"/>
    <col min="13574" max="13574" width="17.33203125" customWidth="1"/>
    <col min="13575" max="13575" width="12.5" customWidth="1"/>
    <col min="13576" max="13576" width="17" customWidth="1"/>
    <col min="13577" max="13577" width="13.5" customWidth="1"/>
    <col min="13825" max="13825" width="13.5" customWidth="1"/>
    <col min="13826" max="13826" width="17" customWidth="1"/>
    <col min="13827" max="13827" width="13.83203125" customWidth="1"/>
    <col min="13829" max="13829" width="13" customWidth="1"/>
    <col min="13830" max="13830" width="17.33203125" customWidth="1"/>
    <col min="13831" max="13831" width="12.5" customWidth="1"/>
    <col min="13832" max="13832" width="17" customWidth="1"/>
    <col min="13833" max="13833" width="13.5" customWidth="1"/>
    <col min="14081" max="14081" width="13.5" customWidth="1"/>
    <col min="14082" max="14082" width="17" customWidth="1"/>
    <col min="14083" max="14083" width="13.83203125" customWidth="1"/>
    <col min="14085" max="14085" width="13" customWidth="1"/>
    <col min="14086" max="14086" width="17.33203125" customWidth="1"/>
    <col min="14087" max="14087" width="12.5" customWidth="1"/>
    <col min="14088" max="14088" width="17" customWidth="1"/>
    <col min="14089" max="14089" width="13.5" customWidth="1"/>
    <col min="14337" max="14337" width="13.5" customWidth="1"/>
    <col min="14338" max="14338" width="17" customWidth="1"/>
    <col min="14339" max="14339" width="13.83203125" customWidth="1"/>
    <col min="14341" max="14341" width="13" customWidth="1"/>
    <col min="14342" max="14342" width="17.33203125" customWidth="1"/>
    <col min="14343" max="14343" width="12.5" customWidth="1"/>
    <col min="14344" max="14344" width="17" customWidth="1"/>
    <col min="14345" max="14345" width="13.5" customWidth="1"/>
    <col min="14593" max="14593" width="13.5" customWidth="1"/>
    <col min="14594" max="14594" width="17" customWidth="1"/>
    <col min="14595" max="14595" width="13.83203125" customWidth="1"/>
    <col min="14597" max="14597" width="13" customWidth="1"/>
    <col min="14598" max="14598" width="17.33203125" customWidth="1"/>
    <col min="14599" max="14599" width="12.5" customWidth="1"/>
    <col min="14600" max="14600" width="17" customWidth="1"/>
    <col min="14601" max="14601" width="13.5" customWidth="1"/>
    <col min="14849" max="14849" width="13.5" customWidth="1"/>
    <col min="14850" max="14850" width="17" customWidth="1"/>
    <col min="14851" max="14851" width="13.83203125" customWidth="1"/>
    <col min="14853" max="14853" width="13" customWidth="1"/>
    <col min="14854" max="14854" width="17.33203125" customWidth="1"/>
    <col min="14855" max="14855" width="12.5" customWidth="1"/>
    <col min="14856" max="14856" width="17" customWidth="1"/>
    <col min="14857" max="14857" width="13.5" customWidth="1"/>
    <col min="15105" max="15105" width="13.5" customWidth="1"/>
    <col min="15106" max="15106" width="17" customWidth="1"/>
    <col min="15107" max="15107" width="13.83203125" customWidth="1"/>
    <col min="15109" max="15109" width="13" customWidth="1"/>
    <col min="15110" max="15110" width="17.33203125" customWidth="1"/>
    <col min="15111" max="15111" width="12.5" customWidth="1"/>
    <col min="15112" max="15112" width="17" customWidth="1"/>
    <col min="15113" max="15113" width="13.5" customWidth="1"/>
    <col min="15361" max="15361" width="13.5" customWidth="1"/>
    <col min="15362" max="15362" width="17" customWidth="1"/>
    <col min="15363" max="15363" width="13.83203125" customWidth="1"/>
    <col min="15365" max="15365" width="13" customWidth="1"/>
    <col min="15366" max="15366" width="17.33203125" customWidth="1"/>
    <col min="15367" max="15367" width="12.5" customWidth="1"/>
    <col min="15368" max="15368" width="17" customWidth="1"/>
    <col min="15369" max="15369" width="13.5" customWidth="1"/>
    <col min="15617" max="15617" width="13.5" customWidth="1"/>
    <col min="15618" max="15618" width="17" customWidth="1"/>
    <col min="15619" max="15619" width="13.83203125" customWidth="1"/>
    <col min="15621" max="15621" width="13" customWidth="1"/>
    <col min="15622" max="15622" width="17.33203125" customWidth="1"/>
    <col min="15623" max="15623" width="12.5" customWidth="1"/>
    <col min="15624" max="15624" width="17" customWidth="1"/>
    <col min="15625" max="15625" width="13.5" customWidth="1"/>
    <col min="15873" max="15873" width="13.5" customWidth="1"/>
    <col min="15874" max="15874" width="17" customWidth="1"/>
    <col min="15875" max="15875" width="13.83203125" customWidth="1"/>
    <col min="15877" max="15877" width="13" customWidth="1"/>
    <col min="15878" max="15878" width="17.33203125" customWidth="1"/>
    <col min="15879" max="15879" width="12.5" customWidth="1"/>
    <col min="15880" max="15880" width="17" customWidth="1"/>
    <col min="15881" max="15881" width="13.5" customWidth="1"/>
    <col min="16129" max="16129" width="13.5" customWidth="1"/>
    <col min="16130" max="16130" width="17" customWidth="1"/>
    <col min="16131" max="16131" width="13.83203125" customWidth="1"/>
    <col min="16133" max="16133" width="13" customWidth="1"/>
    <col min="16134" max="16134" width="17.33203125" customWidth="1"/>
    <col min="16135" max="16135" width="12.5" customWidth="1"/>
    <col min="16136" max="16136" width="17" customWidth="1"/>
    <col min="16137" max="16137" width="13.5" customWidth="1"/>
  </cols>
  <sheetData>
    <row r="1" spans="1:10" x14ac:dyDescent="0.2">
      <c r="A1" s="28" t="s">
        <v>88</v>
      </c>
      <c r="B1" s="28"/>
      <c r="C1" s="28"/>
      <c r="D1" s="28"/>
      <c r="E1" s="28"/>
      <c r="F1" s="28"/>
      <c r="G1" s="28"/>
      <c r="H1" s="28"/>
    </row>
    <row r="2" spans="1:10" x14ac:dyDescent="0.2">
      <c r="A2" s="29" t="s">
        <v>126</v>
      </c>
      <c r="B2" s="29"/>
      <c r="C2" s="29"/>
      <c r="D2" s="29"/>
      <c r="E2" s="29"/>
      <c r="F2" s="29"/>
      <c r="G2" s="29"/>
      <c r="H2" s="29"/>
    </row>
    <row r="3" spans="1:10" ht="32" x14ac:dyDescent="0.2">
      <c r="B3" s="5" t="s">
        <v>87</v>
      </c>
      <c r="C3" s="4" t="s">
        <v>86</v>
      </c>
      <c r="F3" s="5" t="s">
        <v>87</v>
      </c>
      <c r="G3" s="4" t="s">
        <v>86</v>
      </c>
      <c r="I3" s="3" t="s">
        <v>89</v>
      </c>
    </row>
    <row r="4" spans="1:10" x14ac:dyDescent="0.2">
      <c r="A4" t="s">
        <v>85</v>
      </c>
      <c r="B4" s="24">
        <v>6.33</v>
      </c>
      <c r="C4" s="21">
        <v>1</v>
      </c>
      <c r="E4" t="s">
        <v>84</v>
      </c>
      <c r="F4" s="24">
        <f>(7.97+10.3+7.21)/3</f>
        <v>8.4933333333333341</v>
      </c>
      <c r="G4" s="21">
        <v>3</v>
      </c>
      <c r="I4" s="1" t="s">
        <v>83</v>
      </c>
      <c r="J4" s="2">
        <v>6.21</v>
      </c>
    </row>
    <row r="5" spans="1:10" x14ac:dyDescent="0.2">
      <c r="A5" t="s">
        <v>82</v>
      </c>
      <c r="B5" s="25">
        <f>(4.67+4.82+5.71+4.54+5.05+5.41+3.55+4.74+4.68+4.91+4.67+3.39+7.19+4.14+6.15+4.01+7.01+6.85+5.46+5.9+4.84+4.24+4.15+6.06+7.1+5.87+6.07+4.69+5+4.33+5.65+5.9+4.01+2.05+0.85)/35</f>
        <v>4.9617142857142866</v>
      </c>
      <c r="C5" s="26">
        <v>35</v>
      </c>
      <c r="E5" t="s">
        <v>81</v>
      </c>
      <c r="F5" s="25">
        <f>(7.36+6.9+8.33+7.57+1.81+4.6)/6</f>
        <v>6.0949999999999998</v>
      </c>
      <c r="G5" s="26">
        <v>6</v>
      </c>
      <c r="I5" s="1" t="s">
        <v>94</v>
      </c>
      <c r="J5" s="2">
        <v>6.76</v>
      </c>
    </row>
    <row r="6" spans="1:10" x14ac:dyDescent="0.2">
      <c r="A6" t="s">
        <v>79</v>
      </c>
      <c r="B6" s="25">
        <v>7.73</v>
      </c>
      <c r="C6" s="26">
        <v>1</v>
      </c>
      <c r="E6" t="s">
        <v>78</v>
      </c>
      <c r="F6" s="25">
        <f>(9.52+2.65+8.61+10.01+9.61+12.07+8.79+9.52+8.85+9.86+9.47+9.3+6.91+9.12+9.65+7.57+8.29+4.92+9.96)/19</f>
        <v>8.6673684210526307</v>
      </c>
      <c r="G6" s="26">
        <v>19</v>
      </c>
      <c r="I6" s="1" t="s">
        <v>80</v>
      </c>
      <c r="J6" s="2">
        <v>7.09</v>
      </c>
    </row>
    <row r="7" spans="1:10" x14ac:dyDescent="0.2">
      <c r="A7" t="s">
        <v>76</v>
      </c>
      <c r="B7" s="24">
        <v>9.3699999999999992</v>
      </c>
      <c r="C7" s="21">
        <v>1</v>
      </c>
      <c r="E7" t="s">
        <v>75</v>
      </c>
      <c r="F7" s="24">
        <v>8.2200000000000006</v>
      </c>
      <c r="G7" s="21">
        <v>1</v>
      </c>
      <c r="I7" s="1" t="s">
        <v>77</v>
      </c>
      <c r="J7" s="2">
        <v>6.03</v>
      </c>
    </row>
    <row r="8" spans="1:10" x14ac:dyDescent="0.2">
      <c r="A8" t="s">
        <v>73</v>
      </c>
      <c r="B8" s="24">
        <f>(8.72+7.11+8.83+2.52)/4</f>
        <v>6.7950000000000008</v>
      </c>
      <c r="C8" s="21">
        <v>4</v>
      </c>
      <c r="E8" t="s">
        <v>72</v>
      </c>
      <c r="F8" s="24">
        <f>(5.42+6.56+5.89+5+1.55+6.25+5.96+6.6+6.18+4.58)/10</f>
        <v>5.399</v>
      </c>
      <c r="G8" s="21">
        <v>10</v>
      </c>
      <c r="I8" s="1" t="s">
        <v>95</v>
      </c>
      <c r="J8" s="2">
        <v>6.63</v>
      </c>
    </row>
    <row r="9" spans="1:10" x14ac:dyDescent="0.2">
      <c r="A9" t="s">
        <v>71</v>
      </c>
      <c r="B9" s="25" t="s">
        <v>117</v>
      </c>
      <c r="C9" s="26">
        <v>0</v>
      </c>
      <c r="E9" t="s">
        <v>70</v>
      </c>
      <c r="F9" s="25">
        <f>(8.8+4.85+8.7+10.39)/4</f>
        <v>8.1850000000000005</v>
      </c>
      <c r="G9" s="26">
        <v>4</v>
      </c>
      <c r="I9" s="1" t="s">
        <v>96</v>
      </c>
      <c r="J9" s="2">
        <v>7.16</v>
      </c>
    </row>
    <row r="10" spans="1:10" x14ac:dyDescent="0.2">
      <c r="A10" t="s">
        <v>69</v>
      </c>
      <c r="B10" s="25">
        <v>6.52</v>
      </c>
      <c r="C10" s="26">
        <v>1</v>
      </c>
      <c r="E10" t="s">
        <v>68</v>
      </c>
      <c r="F10" s="25">
        <f>(5.85+5.76+5.25+1.62)/4</f>
        <v>4.62</v>
      </c>
      <c r="G10" s="26">
        <v>4</v>
      </c>
      <c r="I10" s="1" t="s">
        <v>97</v>
      </c>
      <c r="J10" s="2">
        <v>5.92</v>
      </c>
    </row>
    <row r="11" spans="1:10" x14ac:dyDescent="0.2">
      <c r="A11" t="s">
        <v>66</v>
      </c>
      <c r="B11" s="24">
        <f>(9.44+8.42)/2</f>
        <v>8.93</v>
      </c>
      <c r="C11" s="21">
        <v>2</v>
      </c>
      <c r="E11" t="s">
        <v>65</v>
      </c>
      <c r="F11" s="24">
        <f>(7.62+1.39+7.21+7.98+8.43+9.12+6.36+7.86+7.42)/9</f>
        <v>7.043333333333333</v>
      </c>
      <c r="G11" s="21">
        <v>9</v>
      </c>
      <c r="I11" s="1" t="s">
        <v>74</v>
      </c>
      <c r="J11" s="2">
        <v>6.54</v>
      </c>
    </row>
    <row r="12" spans="1:10" x14ac:dyDescent="0.2">
      <c r="A12" t="s">
        <v>63</v>
      </c>
      <c r="B12" s="24" t="s">
        <v>117</v>
      </c>
      <c r="C12" s="21">
        <v>0</v>
      </c>
      <c r="E12" t="s">
        <v>62</v>
      </c>
      <c r="F12" s="24" t="s">
        <v>117</v>
      </c>
      <c r="G12" s="21">
        <v>0</v>
      </c>
      <c r="I12" s="1" t="s">
        <v>98</v>
      </c>
      <c r="J12" s="2">
        <v>6.38</v>
      </c>
    </row>
    <row r="13" spans="1:10" x14ac:dyDescent="0.2">
      <c r="A13" t="s">
        <v>61</v>
      </c>
      <c r="B13" s="25" t="s">
        <v>117</v>
      </c>
      <c r="C13" s="26">
        <v>0</v>
      </c>
      <c r="E13" t="s">
        <v>60</v>
      </c>
      <c r="F13" s="25">
        <v>1.61</v>
      </c>
      <c r="G13" s="26">
        <v>1</v>
      </c>
      <c r="I13" s="1" t="s">
        <v>99</v>
      </c>
      <c r="J13" s="2">
        <v>6.04</v>
      </c>
    </row>
    <row r="14" spans="1:10" x14ac:dyDescent="0.2">
      <c r="A14" t="s">
        <v>59</v>
      </c>
      <c r="B14" s="25">
        <v>6.65</v>
      </c>
      <c r="C14" s="26">
        <v>1</v>
      </c>
      <c r="E14" t="s">
        <v>58</v>
      </c>
      <c r="F14" s="25">
        <f>(7.6+7.34+11.14+6.85+7.95+6.81+7.39+9.48+9.59+0.95+8.12+6.84+7.8+7.16+9.8+7.62+7.64+8.47+8.83+6.92+7.63+7.31+10.02)/23</f>
        <v>7.7939130434782617</v>
      </c>
      <c r="G14" s="26">
        <v>23</v>
      </c>
      <c r="I14" s="1" t="s">
        <v>100</v>
      </c>
      <c r="J14" s="2">
        <v>7.39</v>
      </c>
    </row>
    <row r="15" spans="1:10" x14ac:dyDescent="0.2">
      <c r="A15" t="s">
        <v>57</v>
      </c>
      <c r="B15" s="24">
        <v>8.1199999999999992</v>
      </c>
      <c r="C15" s="21">
        <v>1</v>
      </c>
      <c r="E15" t="s">
        <v>56</v>
      </c>
      <c r="F15" s="24" t="s">
        <v>117</v>
      </c>
      <c r="G15" s="21">
        <v>0</v>
      </c>
      <c r="I15" s="1" t="s">
        <v>101</v>
      </c>
      <c r="J15" s="2">
        <v>6.37</v>
      </c>
    </row>
    <row r="16" spans="1:10" x14ac:dyDescent="0.2">
      <c r="A16" t="s">
        <v>54</v>
      </c>
      <c r="B16" s="24">
        <f>(7.98+9.33+7.55)/3</f>
        <v>8.2866666666666671</v>
      </c>
      <c r="C16" s="21">
        <v>3</v>
      </c>
      <c r="E16" t="s">
        <v>53</v>
      </c>
      <c r="F16" s="24">
        <v>8.51</v>
      </c>
      <c r="G16" s="21">
        <v>1</v>
      </c>
      <c r="I16" s="1" t="s">
        <v>102</v>
      </c>
      <c r="J16" s="2">
        <v>6.28</v>
      </c>
    </row>
    <row r="17" spans="1:10" x14ac:dyDescent="0.2">
      <c r="A17" t="s">
        <v>52</v>
      </c>
      <c r="B17" s="25">
        <v>4.8499999999999996</v>
      </c>
      <c r="C17" s="26">
        <v>1</v>
      </c>
      <c r="E17" t="s">
        <v>51</v>
      </c>
      <c r="F17" s="25">
        <f>(8.08+7.28+6.97+7.06+6.65+6.37+7.09+6.34+6.52+7.4+7.66)/11</f>
        <v>7.0381818181818181</v>
      </c>
      <c r="G17" s="26">
        <v>11</v>
      </c>
      <c r="I17" s="1" t="s">
        <v>103</v>
      </c>
      <c r="J17" s="2">
        <v>6.18</v>
      </c>
    </row>
    <row r="18" spans="1:10" x14ac:dyDescent="0.2">
      <c r="A18" t="s">
        <v>49</v>
      </c>
      <c r="B18" s="25" t="s">
        <v>117</v>
      </c>
      <c r="C18" s="26">
        <v>0</v>
      </c>
      <c r="E18" t="s">
        <v>48</v>
      </c>
      <c r="F18" s="25">
        <f>(5.14+6.27+7.59+6.08+6.37+0.25+6.35+5.17+6.74+7.02+5.3+4.96+6.11+1.5+4.08+3.7+4.7+5.91+5.28+0.78+6.97+1.08+1.25+3.83)/24</f>
        <v>4.6845833333333333</v>
      </c>
      <c r="G18" s="26">
        <v>24</v>
      </c>
      <c r="I18" s="1" t="s">
        <v>67</v>
      </c>
      <c r="J18" s="2">
        <v>6.47</v>
      </c>
    </row>
    <row r="19" spans="1:10" x14ac:dyDescent="0.2">
      <c r="A19" t="s">
        <v>46</v>
      </c>
      <c r="B19" s="25" t="s">
        <v>117</v>
      </c>
      <c r="C19" s="26">
        <v>0</v>
      </c>
      <c r="E19" t="s">
        <v>45</v>
      </c>
      <c r="F19" s="24">
        <f>(8.1+9.85+8.55)/3</f>
        <v>8.8333333333333339</v>
      </c>
      <c r="G19" s="21">
        <v>3</v>
      </c>
      <c r="I19" s="1" t="s">
        <v>64</v>
      </c>
      <c r="J19" s="2">
        <v>6.65</v>
      </c>
    </row>
    <row r="20" spans="1:10" x14ac:dyDescent="0.2">
      <c r="A20" t="s">
        <v>43</v>
      </c>
      <c r="B20" s="24">
        <f>(6.83+6.87+6.66+4.84+7.4+6.61)/6</f>
        <v>6.5350000000000001</v>
      </c>
      <c r="C20" s="21">
        <v>6</v>
      </c>
      <c r="E20" t="s">
        <v>42</v>
      </c>
      <c r="F20" s="24">
        <f>(5.85+5.8+5.72+6.57)/4</f>
        <v>5.9849999999999994</v>
      </c>
      <c r="G20" s="21">
        <v>4</v>
      </c>
      <c r="I20" s="1" t="s">
        <v>104</v>
      </c>
      <c r="J20" s="2">
        <v>6.19</v>
      </c>
    </row>
    <row r="21" spans="1:10" x14ac:dyDescent="0.2">
      <c r="A21" t="s">
        <v>40</v>
      </c>
      <c r="B21" s="25" t="s">
        <v>117</v>
      </c>
      <c r="C21" s="26">
        <v>0</v>
      </c>
      <c r="E21" t="s">
        <v>39</v>
      </c>
      <c r="F21" s="25">
        <f>(8.63+9.6+8.27+9.65+8.39+9.49)/6</f>
        <v>9.0050000000000008</v>
      </c>
      <c r="G21" s="26">
        <v>6</v>
      </c>
      <c r="I21" s="1" t="s">
        <v>105</v>
      </c>
      <c r="J21" s="2">
        <v>6.52</v>
      </c>
    </row>
    <row r="22" spans="1:10" x14ac:dyDescent="0.2">
      <c r="A22" t="s">
        <v>37</v>
      </c>
      <c r="B22" s="25" t="s">
        <v>117</v>
      </c>
      <c r="C22" s="26">
        <v>0</v>
      </c>
      <c r="E22" t="s">
        <v>36</v>
      </c>
      <c r="F22" s="25" t="s">
        <v>117</v>
      </c>
      <c r="G22" s="26">
        <v>0</v>
      </c>
      <c r="I22" s="1" t="s">
        <v>10</v>
      </c>
      <c r="J22" s="2">
        <v>7</v>
      </c>
    </row>
    <row r="23" spans="1:10" x14ac:dyDescent="0.2">
      <c r="A23" t="s">
        <v>35</v>
      </c>
      <c r="B23" s="24">
        <v>9.3699999999999992</v>
      </c>
      <c r="C23" s="21">
        <v>1</v>
      </c>
      <c r="E23" t="s">
        <v>34</v>
      </c>
      <c r="F23" s="24" t="s">
        <v>117</v>
      </c>
      <c r="G23" s="21">
        <v>0</v>
      </c>
      <c r="I23" s="1" t="s">
        <v>115</v>
      </c>
      <c r="J23" s="2">
        <v>6.91</v>
      </c>
    </row>
    <row r="24" spans="1:10" x14ac:dyDescent="0.2">
      <c r="A24" t="s">
        <v>32</v>
      </c>
      <c r="B24" s="24" t="s">
        <v>117</v>
      </c>
      <c r="C24" s="21">
        <v>0</v>
      </c>
      <c r="E24" t="s">
        <v>31</v>
      </c>
      <c r="F24" s="24" t="s">
        <v>117</v>
      </c>
      <c r="G24" s="21">
        <v>0</v>
      </c>
      <c r="I24" s="1" t="s">
        <v>106</v>
      </c>
      <c r="J24" s="2">
        <v>6.28</v>
      </c>
    </row>
    <row r="25" spans="1:10" x14ac:dyDescent="0.2">
      <c r="A25" t="s">
        <v>29</v>
      </c>
      <c r="B25" s="25">
        <f>(9.03+7.48+10.38)/3</f>
        <v>8.9633333333333329</v>
      </c>
      <c r="C25" s="26">
        <v>3</v>
      </c>
      <c r="E25" t="s">
        <v>28</v>
      </c>
      <c r="F25" s="25">
        <v>7.15</v>
      </c>
      <c r="G25" s="26">
        <v>1</v>
      </c>
      <c r="I25" s="1" t="s">
        <v>55</v>
      </c>
      <c r="J25" s="2">
        <v>6.5</v>
      </c>
    </row>
    <row r="26" spans="1:10" x14ac:dyDescent="0.2">
      <c r="A26" t="s">
        <v>26</v>
      </c>
      <c r="B26" s="25" t="s">
        <v>117</v>
      </c>
      <c r="C26" s="26">
        <v>0</v>
      </c>
      <c r="E26" t="s">
        <v>25</v>
      </c>
      <c r="F26" s="25">
        <f>(2.65+4.7)/2</f>
        <v>3.6749999999999998</v>
      </c>
      <c r="G26" s="26">
        <v>2</v>
      </c>
      <c r="I26" s="1" t="s">
        <v>116</v>
      </c>
      <c r="J26" s="2">
        <v>6.33</v>
      </c>
    </row>
    <row r="27" spans="1:10" x14ac:dyDescent="0.2">
      <c r="A27" t="s">
        <v>23</v>
      </c>
      <c r="B27" s="24">
        <v>5.19</v>
      </c>
      <c r="C27" s="21">
        <v>1</v>
      </c>
      <c r="E27" t="s">
        <v>22</v>
      </c>
      <c r="F27" s="24">
        <f>(8.5+8.12+6.35+9.71+9.56+8.52)/6</f>
        <v>8.4600000000000009</v>
      </c>
      <c r="G27" s="21">
        <v>6</v>
      </c>
      <c r="I27" s="1" t="s">
        <v>107</v>
      </c>
      <c r="J27" s="2">
        <v>6.88</v>
      </c>
    </row>
    <row r="28" spans="1:10" x14ac:dyDescent="0.2">
      <c r="A28" t="s">
        <v>20</v>
      </c>
      <c r="B28" s="24">
        <f>(7.99+6.73+6.64+7.64+8.46+7.4+5.28)/7</f>
        <v>7.1628571428571428</v>
      </c>
      <c r="C28" s="21">
        <v>7</v>
      </c>
      <c r="E28" t="s">
        <v>19</v>
      </c>
      <c r="F28" s="24">
        <f>(9.2+10.03+8.58+6.47+7.96+8.69+10.48+11.25+11.27+9.41+10.88+5.44+8.54+8.81+8.71)/15</f>
        <v>9.048</v>
      </c>
      <c r="G28" s="21">
        <v>15</v>
      </c>
      <c r="I28" s="1" t="s">
        <v>50</v>
      </c>
      <c r="J28" s="2">
        <v>6.3</v>
      </c>
    </row>
    <row r="29" spans="1:10" x14ac:dyDescent="0.2">
      <c r="A29" t="s">
        <v>17</v>
      </c>
      <c r="B29" s="25">
        <f>(7.2+6.87+5.61+6.06)/4</f>
        <v>6.4349999999999996</v>
      </c>
      <c r="C29" s="26">
        <v>4</v>
      </c>
      <c r="E29" t="s">
        <v>16</v>
      </c>
      <c r="F29" s="25" t="s">
        <v>117</v>
      </c>
      <c r="G29" s="26">
        <v>0</v>
      </c>
      <c r="I29" s="1" t="s">
        <v>47</v>
      </c>
      <c r="J29" s="2">
        <v>6.8</v>
      </c>
    </row>
    <row r="30" spans="1:10" x14ac:dyDescent="0.2">
      <c r="A30" t="s">
        <v>14</v>
      </c>
      <c r="B30" s="25">
        <v>6.8</v>
      </c>
      <c r="C30" s="26">
        <v>1</v>
      </c>
      <c r="E30" t="s">
        <v>13</v>
      </c>
      <c r="F30" s="25">
        <f>(11.26+8.6+10.04)/3</f>
        <v>9.9666666666666668</v>
      </c>
      <c r="G30" s="26">
        <v>3</v>
      </c>
      <c r="I30" s="1" t="s">
        <v>44</v>
      </c>
      <c r="J30" s="2">
        <v>6.71</v>
      </c>
    </row>
    <row r="31" spans="1:10" x14ac:dyDescent="0.2">
      <c r="A31" t="s">
        <v>12</v>
      </c>
      <c r="B31" s="24">
        <f>(8.79+7.84+3.81)/3</f>
        <v>6.8133333333333326</v>
      </c>
      <c r="C31" s="21">
        <v>3</v>
      </c>
      <c r="E31" t="s">
        <v>11</v>
      </c>
      <c r="F31" s="24">
        <v>5.57</v>
      </c>
      <c r="G31" s="21">
        <v>1</v>
      </c>
      <c r="I31" s="1" t="s">
        <v>41</v>
      </c>
      <c r="J31" s="2">
        <v>6.2</v>
      </c>
    </row>
    <row r="32" spans="1:10" x14ac:dyDescent="0.2">
      <c r="A32" t="s">
        <v>10</v>
      </c>
      <c r="B32" s="24">
        <v>0</v>
      </c>
      <c r="C32" s="21">
        <v>1</v>
      </c>
      <c r="E32" t="s">
        <v>9</v>
      </c>
      <c r="F32" s="24">
        <f>(6.92+6.48+8.94+7.01+8.4)/5</f>
        <v>7.55</v>
      </c>
      <c r="G32" s="21">
        <v>5</v>
      </c>
      <c r="I32" s="1" t="s">
        <v>38</v>
      </c>
      <c r="J32" s="2">
        <v>7.22</v>
      </c>
    </row>
    <row r="33" spans="1:10" x14ac:dyDescent="0.2">
      <c r="A33" t="s">
        <v>8</v>
      </c>
      <c r="B33" s="25" t="s">
        <v>117</v>
      </c>
      <c r="C33" s="26">
        <v>0</v>
      </c>
      <c r="E33" t="s">
        <v>7</v>
      </c>
      <c r="F33" s="25">
        <v>9.69</v>
      </c>
      <c r="G33" s="26">
        <v>1</v>
      </c>
      <c r="I33" s="1" t="s">
        <v>108</v>
      </c>
      <c r="J33" s="2">
        <v>6.08</v>
      </c>
    </row>
    <row r="34" spans="1:10" x14ac:dyDescent="0.2">
      <c r="A34" t="s">
        <v>6</v>
      </c>
      <c r="B34" s="22" t="s">
        <v>117</v>
      </c>
      <c r="C34" s="23">
        <v>0</v>
      </c>
      <c r="E34" t="s">
        <v>5</v>
      </c>
      <c r="F34" s="25">
        <v>5.38</v>
      </c>
      <c r="G34" s="26">
        <v>1</v>
      </c>
      <c r="I34" s="1" t="s">
        <v>109</v>
      </c>
      <c r="J34" s="2">
        <v>6.42</v>
      </c>
    </row>
    <row r="35" spans="1:10" x14ac:dyDescent="0.2">
      <c r="A35" t="s">
        <v>4</v>
      </c>
      <c r="B35" s="24" t="s">
        <v>117</v>
      </c>
      <c r="C35" s="21">
        <v>0</v>
      </c>
      <c r="E35" t="s">
        <v>3</v>
      </c>
      <c r="F35" s="24">
        <f>(7.89+7.15)/2</f>
        <v>7.52</v>
      </c>
      <c r="G35" s="21">
        <v>2</v>
      </c>
      <c r="I35" s="1" t="s">
        <v>110</v>
      </c>
      <c r="J35" s="2">
        <v>6.28</v>
      </c>
    </row>
    <row r="36" spans="1:10" x14ac:dyDescent="0.2">
      <c r="A36" t="s">
        <v>2</v>
      </c>
      <c r="B36" s="24" t="s">
        <v>117</v>
      </c>
      <c r="C36" s="21">
        <v>0</v>
      </c>
      <c r="E36" t="s">
        <v>1</v>
      </c>
      <c r="F36" s="24">
        <f>(9.04+6.48)/2</f>
        <v>7.76</v>
      </c>
      <c r="G36" s="21">
        <v>2</v>
      </c>
      <c r="I36" s="1" t="s">
        <v>111</v>
      </c>
      <c r="J36" s="2">
        <v>6.51</v>
      </c>
    </row>
    <row r="37" spans="1:10" x14ac:dyDescent="0.2">
      <c r="A37" t="s">
        <v>0</v>
      </c>
      <c r="B37" s="25" t="s">
        <v>117</v>
      </c>
      <c r="C37" s="26">
        <v>0</v>
      </c>
      <c r="I37" s="1" t="s">
        <v>33</v>
      </c>
      <c r="J37" s="2">
        <v>6.73</v>
      </c>
    </row>
    <row r="38" spans="1:10" x14ac:dyDescent="0.2">
      <c r="I38" s="1" t="s">
        <v>30</v>
      </c>
      <c r="J38" s="2">
        <v>6.43</v>
      </c>
    </row>
    <row r="39" spans="1:10" x14ac:dyDescent="0.2">
      <c r="I39" s="1" t="s">
        <v>27</v>
      </c>
      <c r="J39" s="2">
        <v>6.93</v>
      </c>
    </row>
    <row r="40" spans="1:10" x14ac:dyDescent="0.2">
      <c r="I40" s="1" t="s">
        <v>24</v>
      </c>
      <c r="J40" s="2">
        <v>6.22</v>
      </c>
    </row>
    <row r="41" spans="1:10" x14ac:dyDescent="0.2">
      <c r="I41" s="1" t="s">
        <v>21</v>
      </c>
      <c r="J41" s="2">
        <v>6.21</v>
      </c>
    </row>
    <row r="42" spans="1:10" x14ac:dyDescent="0.2">
      <c r="I42" s="1" t="s">
        <v>113</v>
      </c>
      <c r="J42" s="2">
        <v>6.21</v>
      </c>
    </row>
    <row r="43" spans="1:10" x14ac:dyDescent="0.2">
      <c r="I43" s="1" t="s">
        <v>18</v>
      </c>
      <c r="J43" s="2">
        <v>6.78</v>
      </c>
    </row>
    <row r="44" spans="1:10" x14ac:dyDescent="0.2">
      <c r="I44" s="1" t="s">
        <v>112</v>
      </c>
      <c r="J44" s="2">
        <v>6.26</v>
      </c>
    </row>
    <row r="45" spans="1:10" x14ac:dyDescent="0.2">
      <c r="I45" s="1" t="s">
        <v>15</v>
      </c>
      <c r="J45" s="2">
        <v>6.06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5"/>
  <sheetViews>
    <sheetView topLeftCell="D16" workbookViewId="0">
      <selection activeCell="F37" sqref="F37"/>
    </sheetView>
  </sheetViews>
  <sheetFormatPr baseColWidth="10" defaultColWidth="8.83203125" defaultRowHeight="15" x14ac:dyDescent="0.2"/>
  <cols>
    <col min="1" max="1" width="13.5" customWidth="1"/>
    <col min="2" max="2" width="17" customWidth="1"/>
    <col min="3" max="3" width="13.832031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257" max="257" width="13.5" customWidth="1"/>
    <col min="258" max="258" width="17" customWidth="1"/>
    <col min="259" max="259" width="13.83203125" customWidth="1"/>
    <col min="261" max="261" width="13" customWidth="1"/>
    <col min="262" max="262" width="17.33203125" customWidth="1"/>
    <col min="263" max="263" width="12.5" customWidth="1"/>
    <col min="264" max="264" width="17" customWidth="1"/>
    <col min="265" max="265" width="13.5" customWidth="1"/>
    <col min="513" max="513" width="13.5" customWidth="1"/>
    <col min="514" max="514" width="17" customWidth="1"/>
    <col min="515" max="515" width="13.83203125" customWidth="1"/>
    <col min="517" max="517" width="13" customWidth="1"/>
    <col min="518" max="518" width="17.33203125" customWidth="1"/>
    <col min="519" max="519" width="12.5" customWidth="1"/>
    <col min="520" max="520" width="17" customWidth="1"/>
    <col min="521" max="521" width="13.5" customWidth="1"/>
    <col min="769" max="769" width="13.5" customWidth="1"/>
    <col min="770" max="770" width="17" customWidth="1"/>
    <col min="771" max="771" width="13.83203125" customWidth="1"/>
    <col min="773" max="773" width="13" customWidth="1"/>
    <col min="774" max="774" width="17.33203125" customWidth="1"/>
    <col min="775" max="775" width="12.5" customWidth="1"/>
    <col min="776" max="776" width="17" customWidth="1"/>
    <col min="777" max="777" width="13.5" customWidth="1"/>
    <col min="1025" max="1025" width="13.5" customWidth="1"/>
    <col min="1026" max="1026" width="17" customWidth="1"/>
    <col min="1027" max="1027" width="13.83203125" customWidth="1"/>
    <col min="1029" max="1029" width="13" customWidth="1"/>
    <col min="1030" max="1030" width="17.33203125" customWidth="1"/>
    <col min="1031" max="1031" width="12.5" customWidth="1"/>
    <col min="1032" max="1032" width="17" customWidth="1"/>
    <col min="1033" max="1033" width="13.5" customWidth="1"/>
    <col min="1281" max="1281" width="13.5" customWidth="1"/>
    <col min="1282" max="1282" width="17" customWidth="1"/>
    <col min="1283" max="1283" width="13.83203125" customWidth="1"/>
    <col min="1285" max="1285" width="13" customWidth="1"/>
    <col min="1286" max="1286" width="17.33203125" customWidth="1"/>
    <col min="1287" max="1287" width="12.5" customWidth="1"/>
    <col min="1288" max="1288" width="17" customWidth="1"/>
    <col min="1289" max="1289" width="13.5" customWidth="1"/>
    <col min="1537" max="1537" width="13.5" customWidth="1"/>
    <col min="1538" max="1538" width="17" customWidth="1"/>
    <col min="1539" max="1539" width="13.83203125" customWidth="1"/>
    <col min="1541" max="1541" width="13" customWidth="1"/>
    <col min="1542" max="1542" width="17.33203125" customWidth="1"/>
    <col min="1543" max="1543" width="12.5" customWidth="1"/>
    <col min="1544" max="1544" width="17" customWidth="1"/>
    <col min="1545" max="1545" width="13.5" customWidth="1"/>
    <col min="1793" max="1793" width="13.5" customWidth="1"/>
    <col min="1794" max="1794" width="17" customWidth="1"/>
    <col min="1795" max="1795" width="13.83203125" customWidth="1"/>
    <col min="1797" max="1797" width="13" customWidth="1"/>
    <col min="1798" max="1798" width="17.33203125" customWidth="1"/>
    <col min="1799" max="1799" width="12.5" customWidth="1"/>
    <col min="1800" max="1800" width="17" customWidth="1"/>
    <col min="1801" max="1801" width="13.5" customWidth="1"/>
    <col min="2049" max="2049" width="13.5" customWidth="1"/>
    <col min="2050" max="2050" width="17" customWidth="1"/>
    <col min="2051" max="2051" width="13.83203125" customWidth="1"/>
    <col min="2053" max="2053" width="13" customWidth="1"/>
    <col min="2054" max="2054" width="17.33203125" customWidth="1"/>
    <col min="2055" max="2055" width="12.5" customWidth="1"/>
    <col min="2056" max="2056" width="17" customWidth="1"/>
    <col min="2057" max="2057" width="13.5" customWidth="1"/>
    <col min="2305" max="2305" width="13.5" customWidth="1"/>
    <col min="2306" max="2306" width="17" customWidth="1"/>
    <col min="2307" max="2307" width="13.83203125" customWidth="1"/>
    <col min="2309" max="2309" width="13" customWidth="1"/>
    <col min="2310" max="2310" width="17.33203125" customWidth="1"/>
    <col min="2311" max="2311" width="12.5" customWidth="1"/>
    <col min="2312" max="2312" width="17" customWidth="1"/>
    <col min="2313" max="2313" width="13.5" customWidth="1"/>
    <col min="2561" max="2561" width="13.5" customWidth="1"/>
    <col min="2562" max="2562" width="17" customWidth="1"/>
    <col min="2563" max="2563" width="13.83203125" customWidth="1"/>
    <col min="2565" max="2565" width="13" customWidth="1"/>
    <col min="2566" max="2566" width="17.33203125" customWidth="1"/>
    <col min="2567" max="2567" width="12.5" customWidth="1"/>
    <col min="2568" max="2568" width="17" customWidth="1"/>
    <col min="2569" max="2569" width="13.5" customWidth="1"/>
    <col min="2817" max="2817" width="13.5" customWidth="1"/>
    <col min="2818" max="2818" width="17" customWidth="1"/>
    <col min="2819" max="2819" width="13.83203125" customWidth="1"/>
    <col min="2821" max="2821" width="13" customWidth="1"/>
    <col min="2822" max="2822" width="17.33203125" customWidth="1"/>
    <col min="2823" max="2823" width="12.5" customWidth="1"/>
    <col min="2824" max="2824" width="17" customWidth="1"/>
    <col min="2825" max="2825" width="13.5" customWidth="1"/>
    <col min="3073" max="3073" width="13.5" customWidth="1"/>
    <col min="3074" max="3074" width="17" customWidth="1"/>
    <col min="3075" max="3075" width="13.83203125" customWidth="1"/>
    <col min="3077" max="3077" width="13" customWidth="1"/>
    <col min="3078" max="3078" width="17.33203125" customWidth="1"/>
    <col min="3079" max="3079" width="12.5" customWidth="1"/>
    <col min="3080" max="3080" width="17" customWidth="1"/>
    <col min="3081" max="3081" width="13.5" customWidth="1"/>
    <col min="3329" max="3329" width="13.5" customWidth="1"/>
    <col min="3330" max="3330" width="17" customWidth="1"/>
    <col min="3331" max="3331" width="13.83203125" customWidth="1"/>
    <col min="3333" max="3333" width="13" customWidth="1"/>
    <col min="3334" max="3334" width="17.33203125" customWidth="1"/>
    <col min="3335" max="3335" width="12.5" customWidth="1"/>
    <col min="3336" max="3336" width="17" customWidth="1"/>
    <col min="3337" max="3337" width="13.5" customWidth="1"/>
    <col min="3585" max="3585" width="13.5" customWidth="1"/>
    <col min="3586" max="3586" width="17" customWidth="1"/>
    <col min="3587" max="3587" width="13.83203125" customWidth="1"/>
    <col min="3589" max="3589" width="13" customWidth="1"/>
    <col min="3590" max="3590" width="17.33203125" customWidth="1"/>
    <col min="3591" max="3591" width="12.5" customWidth="1"/>
    <col min="3592" max="3592" width="17" customWidth="1"/>
    <col min="3593" max="3593" width="13.5" customWidth="1"/>
    <col min="3841" max="3841" width="13.5" customWidth="1"/>
    <col min="3842" max="3842" width="17" customWidth="1"/>
    <col min="3843" max="3843" width="13.83203125" customWidth="1"/>
    <col min="3845" max="3845" width="13" customWidth="1"/>
    <col min="3846" max="3846" width="17.33203125" customWidth="1"/>
    <col min="3847" max="3847" width="12.5" customWidth="1"/>
    <col min="3848" max="3848" width="17" customWidth="1"/>
    <col min="3849" max="3849" width="13.5" customWidth="1"/>
    <col min="4097" max="4097" width="13.5" customWidth="1"/>
    <col min="4098" max="4098" width="17" customWidth="1"/>
    <col min="4099" max="4099" width="13.83203125" customWidth="1"/>
    <col min="4101" max="4101" width="13" customWidth="1"/>
    <col min="4102" max="4102" width="17.33203125" customWidth="1"/>
    <col min="4103" max="4103" width="12.5" customWidth="1"/>
    <col min="4104" max="4104" width="17" customWidth="1"/>
    <col min="4105" max="4105" width="13.5" customWidth="1"/>
    <col min="4353" max="4353" width="13.5" customWidth="1"/>
    <col min="4354" max="4354" width="17" customWidth="1"/>
    <col min="4355" max="4355" width="13.83203125" customWidth="1"/>
    <col min="4357" max="4357" width="13" customWidth="1"/>
    <col min="4358" max="4358" width="17.33203125" customWidth="1"/>
    <col min="4359" max="4359" width="12.5" customWidth="1"/>
    <col min="4360" max="4360" width="17" customWidth="1"/>
    <col min="4361" max="4361" width="13.5" customWidth="1"/>
    <col min="4609" max="4609" width="13.5" customWidth="1"/>
    <col min="4610" max="4610" width="17" customWidth="1"/>
    <col min="4611" max="4611" width="13.83203125" customWidth="1"/>
    <col min="4613" max="4613" width="13" customWidth="1"/>
    <col min="4614" max="4614" width="17.33203125" customWidth="1"/>
    <col min="4615" max="4615" width="12.5" customWidth="1"/>
    <col min="4616" max="4616" width="17" customWidth="1"/>
    <col min="4617" max="4617" width="13.5" customWidth="1"/>
    <col min="4865" max="4865" width="13.5" customWidth="1"/>
    <col min="4866" max="4866" width="17" customWidth="1"/>
    <col min="4867" max="4867" width="13.83203125" customWidth="1"/>
    <col min="4869" max="4869" width="13" customWidth="1"/>
    <col min="4870" max="4870" width="17.33203125" customWidth="1"/>
    <col min="4871" max="4871" width="12.5" customWidth="1"/>
    <col min="4872" max="4872" width="17" customWidth="1"/>
    <col min="4873" max="4873" width="13.5" customWidth="1"/>
    <col min="5121" max="5121" width="13.5" customWidth="1"/>
    <col min="5122" max="5122" width="17" customWidth="1"/>
    <col min="5123" max="5123" width="13.83203125" customWidth="1"/>
    <col min="5125" max="5125" width="13" customWidth="1"/>
    <col min="5126" max="5126" width="17.33203125" customWidth="1"/>
    <col min="5127" max="5127" width="12.5" customWidth="1"/>
    <col min="5128" max="5128" width="17" customWidth="1"/>
    <col min="5129" max="5129" width="13.5" customWidth="1"/>
    <col min="5377" max="5377" width="13.5" customWidth="1"/>
    <col min="5378" max="5378" width="17" customWidth="1"/>
    <col min="5379" max="5379" width="13.83203125" customWidth="1"/>
    <col min="5381" max="5381" width="13" customWidth="1"/>
    <col min="5382" max="5382" width="17.33203125" customWidth="1"/>
    <col min="5383" max="5383" width="12.5" customWidth="1"/>
    <col min="5384" max="5384" width="17" customWidth="1"/>
    <col min="5385" max="5385" width="13.5" customWidth="1"/>
    <col min="5633" max="5633" width="13.5" customWidth="1"/>
    <col min="5634" max="5634" width="17" customWidth="1"/>
    <col min="5635" max="5635" width="13.83203125" customWidth="1"/>
    <col min="5637" max="5637" width="13" customWidth="1"/>
    <col min="5638" max="5638" width="17.33203125" customWidth="1"/>
    <col min="5639" max="5639" width="12.5" customWidth="1"/>
    <col min="5640" max="5640" width="17" customWidth="1"/>
    <col min="5641" max="5641" width="13.5" customWidth="1"/>
    <col min="5889" max="5889" width="13.5" customWidth="1"/>
    <col min="5890" max="5890" width="17" customWidth="1"/>
    <col min="5891" max="5891" width="13.83203125" customWidth="1"/>
    <col min="5893" max="5893" width="13" customWidth="1"/>
    <col min="5894" max="5894" width="17.33203125" customWidth="1"/>
    <col min="5895" max="5895" width="12.5" customWidth="1"/>
    <col min="5896" max="5896" width="17" customWidth="1"/>
    <col min="5897" max="5897" width="13.5" customWidth="1"/>
    <col min="6145" max="6145" width="13.5" customWidth="1"/>
    <col min="6146" max="6146" width="17" customWidth="1"/>
    <col min="6147" max="6147" width="13.83203125" customWidth="1"/>
    <col min="6149" max="6149" width="13" customWidth="1"/>
    <col min="6150" max="6150" width="17.33203125" customWidth="1"/>
    <col min="6151" max="6151" width="12.5" customWidth="1"/>
    <col min="6152" max="6152" width="17" customWidth="1"/>
    <col min="6153" max="6153" width="13.5" customWidth="1"/>
    <col min="6401" max="6401" width="13.5" customWidth="1"/>
    <col min="6402" max="6402" width="17" customWidth="1"/>
    <col min="6403" max="6403" width="13.83203125" customWidth="1"/>
    <col min="6405" max="6405" width="13" customWidth="1"/>
    <col min="6406" max="6406" width="17.33203125" customWidth="1"/>
    <col min="6407" max="6407" width="12.5" customWidth="1"/>
    <col min="6408" max="6408" width="17" customWidth="1"/>
    <col min="6409" max="6409" width="13.5" customWidth="1"/>
    <col min="6657" max="6657" width="13.5" customWidth="1"/>
    <col min="6658" max="6658" width="17" customWidth="1"/>
    <col min="6659" max="6659" width="13.83203125" customWidth="1"/>
    <col min="6661" max="6661" width="13" customWidth="1"/>
    <col min="6662" max="6662" width="17.33203125" customWidth="1"/>
    <col min="6663" max="6663" width="12.5" customWidth="1"/>
    <col min="6664" max="6664" width="17" customWidth="1"/>
    <col min="6665" max="6665" width="13.5" customWidth="1"/>
    <col min="6913" max="6913" width="13.5" customWidth="1"/>
    <col min="6914" max="6914" width="17" customWidth="1"/>
    <col min="6915" max="6915" width="13.83203125" customWidth="1"/>
    <col min="6917" max="6917" width="13" customWidth="1"/>
    <col min="6918" max="6918" width="17.33203125" customWidth="1"/>
    <col min="6919" max="6919" width="12.5" customWidth="1"/>
    <col min="6920" max="6920" width="17" customWidth="1"/>
    <col min="6921" max="6921" width="13.5" customWidth="1"/>
    <col min="7169" max="7169" width="13.5" customWidth="1"/>
    <col min="7170" max="7170" width="17" customWidth="1"/>
    <col min="7171" max="7171" width="13.83203125" customWidth="1"/>
    <col min="7173" max="7173" width="13" customWidth="1"/>
    <col min="7174" max="7174" width="17.33203125" customWidth="1"/>
    <col min="7175" max="7175" width="12.5" customWidth="1"/>
    <col min="7176" max="7176" width="17" customWidth="1"/>
    <col min="7177" max="7177" width="13.5" customWidth="1"/>
    <col min="7425" max="7425" width="13.5" customWidth="1"/>
    <col min="7426" max="7426" width="17" customWidth="1"/>
    <col min="7427" max="7427" width="13.83203125" customWidth="1"/>
    <col min="7429" max="7429" width="13" customWidth="1"/>
    <col min="7430" max="7430" width="17.33203125" customWidth="1"/>
    <col min="7431" max="7431" width="12.5" customWidth="1"/>
    <col min="7432" max="7432" width="17" customWidth="1"/>
    <col min="7433" max="7433" width="13.5" customWidth="1"/>
    <col min="7681" max="7681" width="13.5" customWidth="1"/>
    <col min="7682" max="7682" width="17" customWidth="1"/>
    <col min="7683" max="7683" width="13.83203125" customWidth="1"/>
    <col min="7685" max="7685" width="13" customWidth="1"/>
    <col min="7686" max="7686" width="17.33203125" customWidth="1"/>
    <col min="7687" max="7687" width="12.5" customWidth="1"/>
    <col min="7688" max="7688" width="17" customWidth="1"/>
    <col min="7689" max="7689" width="13.5" customWidth="1"/>
    <col min="7937" max="7937" width="13.5" customWidth="1"/>
    <col min="7938" max="7938" width="17" customWidth="1"/>
    <col min="7939" max="7939" width="13.83203125" customWidth="1"/>
    <col min="7941" max="7941" width="13" customWidth="1"/>
    <col min="7942" max="7942" width="17.33203125" customWidth="1"/>
    <col min="7943" max="7943" width="12.5" customWidth="1"/>
    <col min="7944" max="7944" width="17" customWidth="1"/>
    <col min="7945" max="7945" width="13.5" customWidth="1"/>
    <col min="8193" max="8193" width="13.5" customWidth="1"/>
    <col min="8194" max="8194" width="17" customWidth="1"/>
    <col min="8195" max="8195" width="13.83203125" customWidth="1"/>
    <col min="8197" max="8197" width="13" customWidth="1"/>
    <col min="8198" max="8198" width="17.33203125" customWidth="1"/>
    <col min="8199" max="8199" width="12.5" customWidth="1"/>
    <col min="8200" max="8200" width="17" customWidth="1"/>
    <col min="8201" max="8201" width="13.5" customWidth="1"/>
    <col min="8449" max="8449" width="13.5" customWidth="1"/>
    <col min="8450" max="8450" width="17" customWidth="1"/>
    <col min="8451" max="8451" width="13.83203125" customWidth="1"/>
    <col min="8453" max="8453" width="13" customWidth="1"/>
    <col min="8454" max="8454" width="17.33203125" customWidth="1"/>
    <col min="8455" max="8455" width="12.5" customWidth="1"/>
    <col min="8456" max="8456" width="17" customWidth="1"/>
    <col min="8457" max="8457" width="13.5" customWidth="1"/>
    <col min="8705" max="8705" width="13.5" customWidth="1"/>
    <col min="8706" max="8706" width="17" customWidth="1"/>
    <col min="8707" max="8707" width="13.83203125" customWidth="1"/>
    <col min="8709" max="8709" width="13" customWidth="1"/>
    <col min="8710" max="8710" width="17.33203125" customWidth="1"/>
    <col min="8711" max="8711" width="12.5" customWidth="1"/>
    <col min="8712" max="8712" width="17" customWidth="1"/>
    <col min="8713" max="8713" width="13.5" customWidth="1"/>
    <col min="8961" max="8961" width="13.5" customWidth="1"/>
    <col min="8962" max="8962" width="17" customWidth="1"/>
    <col min="8963" max="8963" width="13.83203125" customWidth="1"/>
    <col min="8965" max="8965" width="13" customWidth="1"/>
    <col min="8966" max="8966" width="17.33203125" customWidth="1"/>
    <col min="8967" max="8967" width="12.5" customWidth="1"/>
    <col min="8968" max="8968" width="17" customWidth="1"/>
    <col min="8969" max="8969" width="13.5" customWidth="1"/>
    <col min="9217" max="9217" width="13.5" customWidth="1"/>
    <col min="9218" max="9218" width="17" customWidth="1"/>
    <col min="9219" max="9219" width="13.83203125" customWidth="1"/>
    <col min="9221" max="9221" width="13" customWidth="1"/>
    <col min="9222" max="9222" width="17.33203125" customWidth="1"/>
    <col min="9223" max="9223" width="12.5" customWidth="1"/>
    <col min="9224" max="9224" width="17" customWidth="1"/>
    <col min="9225" max="9225" width="13.5" customWidth="1"/>
    <col min="9473" max="9473" width="13.5" customWidth="1"/>
    <col min="9474" max="9474" width="17" customWidth="1"/>
    <col min="9475" max="9475" width="13.83203125" customWidth="1"/>
    <col min="9477" max="9477" width="13" customWidth="1"/>
    <col min="9478" max="9478" width="17.33203125" customWidth="1"/>
    <col min="9479" max="9479" width="12.5" customWidth="1"/>
    <col min="9480" max="9480" width="17" customWidth="1"/>
    <col min="9481" max="9481" width="13.5" customWidth="1"/>
    <col min="9729" max="9729" width="13.5" customWidth="1"/>
    <col min="9730" max="9730" width="17" customWidth="1"/>
    <col min="9731" max="9731" width="13.83203125" customWidth="1"/>
    <col min="9733" max="9733" width="13" customWidth="1"/>
    <col min="9734" max="9734" width="17.33203125" customWidth="1"/>
    <col min="9735" max="9735" width="12.5" customWidth="1"/>
    <col min="9736" max="9736" width="17" customWidth="1"/>
    <col min="9737" max="9737" width="13.5" customWidth="1"/>
    <col min="9985" max="9985" width="13.5" customWidth="1"/>
    <col min="9986" max="9986" width="17" customWidth="1"/>
    <col min="9987" max="9987" width="13.83203125" customWidth="1"/>
    <col min="9989" max="9989" width="13" customWidth="1"/>
    <col min="9990" max="9990" width="17.33203125" customWidth="1"/>
    <col min="9991" max="9991" width="12.5" customWidth="1"/>
    <col min="9992" max="9992" width="17" customWidth="1"/>
    <col min="9993" max="9993" width="13.5" customWidth="1"/>
    <col min="10241" max="10241" width="13.5" customWidth="1"/>
    <col min="10242" max="10242" width="17" customWidth="1"/>
    <col min="10243" max="10243" width="13.83203125" customWidth="1"/>
    <col min="10245" max="10245" width="13" customWidth="1"/>
    <col min="10246" max="10246" width="17.33203125" customWidth="1"/>
    <col min="10247" max="10247" width="12.5" customWidth="1"/>
    <col min="10248" max="10248" width="17" customWidth="1"/>
    <col min="10249" max="10249" width="13.5" customWidth="1"/>
    <col min="10497" max="10497" width="13.5" customWidth="1"/>
    <col min="10498" max="10498" width="17" customWidth="1"/>
    <col min="10499" max="10499" width="13.83203125" customWidth="1"/>
    <col min="10501" max="10501" width="13" customWidth="1"/>
    <col min="10502" max="10502" width="17.33203125" customWidth="1"/>
    <col min="10503" max="10503" width="12.5" customWidth="1"/>
    <col min="10504" max="10504" width="17" customWidth="1"/>
    <col min="10505" max="10505" width="13.5" customWidth="1"/>
    <col min="10753" max="10753" width="13.5" customWidth="1"/>
    <col min="10754" max="10754" width="17" customWidth="1"/>
    <col min="10755" max="10755" width="13.83203125" customWidth="1"/>
    <col min="10757" max="10757" width="13" customWidth="1"/>
    <col min="10758" max="10758" width="17.33203125" customWidth="1"/>
    <col min="10759" max="10759" width="12.5" customWidth="1"/>
    <col min="10760" max="10760" width="17" customWidth="1"/>
    <col min="10761" max="10761" width="13.5" customWidth="1"/>
    <col min="11009" max="11009" width="13.5" customWidth="1"/>
    <col min="11010" max="11010" width="17" customWidth="1"/>
    <col min="11011" max="11011" width="13.83203125" customWidth="1"/>
    <col min="11013" max="11013" width="13" customWidth="1"/>
    <col min="11014" max="11014" width="17.33203125" customWidth="1"/>
    <col min="11015" max="11015" width="12.5" customWidth="1"/>
    <col min="11016" max="11016" width="17" customWidth="1"/>
    <col min="11017" max="11017" width="13.5" customWidth="1"/>
    <col min="11265" max="11265" width="13.5" customWidth="1"/>
    <col min="11266" max="11266" width="17" customWidth="1"/>
    <col min="11267" max="11267" width="13.83203125" customWidth="1"/>
    <col min="11269" max="11269" width="13" customWidth="1"/>
    <col min="11270" max="11270" width="17.33203125" customWidth="1"/>
    <col min="11271" max="11271" width="12.5" customWidth="1"/>
    <col min="11272" max="11272" width="17" customWidth="1"/>
    <col min="11273" max="11273" width="13.5" customWidth="1"/>
    <col min="11521" max="11521" width="13.5" customWidth="1"/>
    <col min="11522" max="11522" width="17" customWidth="1"/>
    <col min="11523" max="11523" width="13.83203125" customWidth="1"/>
    <col min="11525" max="11525" width="13" customWidth="1"/>
    <col min="11526" max="11526" width="17.33203125" customWidth="1"/>
    <col min="11527" max="11527" width="12.5" customWidth="1"/>
    <col min="11528" max="11528" width="17" customWidth="1"/>
    <col min="11529" max="11529" width="13.5" customWidth="1"/>
    <col min="11777" max="11777" width="13.5" customWidth="1"/>
    <col min="11778" max="11778" width="17" customWidth="1"/>
    <col min="11779" max="11779" width="13.83203125" customWidth="1"/>
    <col min="11781" max="11781" width="13" customWidth="1"/>
    <col min="11782" max="11782" width="17.33203125" customWidth="1"/>
    <col min="11783" max="11783" width="12.5" customWidth="1"/>
    <col min="11784" max="11784" width="17" customWidth="1"/>
    <col min="11785" max="11785" width="13.5" customWidth="1"/>
    <col min="12033" max="12033" width="13.5" customWidth="1"/>
    <col min="12034" max="12034" width="17" customWidth="1"/>
    <col min="12035" max="12035" width="13.83203125" customWidth="1"/>
    <col min="12037" max="12037" width="13" customWidth="1"/>
    <col min="12038" max="12038" width="17.33203125" customWidth="1"/>
    <col min="12039" max="12039" width="12.5" customWidth="1"/>
    <col min="12040" max="12040" width="17" customWidth="1"/>
    <col min="12041" max="12041" width="13.5" customWidth="1"/>
    <col min="12289" max="12289" width="13.5" customWidth="1"/>
    <col min="12290" max="12290" width="17" customWidth="1"/>
    <col min="12291" max="12291" width="13.83203125" customWidth="1"/>
    <col min="12293" max="12293" width="13" customWidth="1"/>
    <col min="12294" max="12294" width="17.33203125" customWidth="1"/>
    <col min="12295" max="12295" width="12.5" customWidth="1"/>
    <col min="12296" max="12296" width="17" customWidth="1"/>
    <col min="12297" max="12297" width="13.5" customWidth="1"/>
    <col min="12545" max="12545" width="13.5" customWidth="1"/>
    <col min="12546" max="12546" width="17" customWidth="1"/>
    <col min="12547" max="12547" width="13.83203125" customWidth="1"/>
    <col min="12549" max="12549" width="13" customWidth="1"/>
    <col min="12550" max="12550" width="17.33203125" customWidth="1"/>
    <col min="12551" max="12551" width="12.5" customWidth="1"/>
    <col min="12552" max="12552" width="17" customWidth="1"/>
    <col min="12553" max="12553" width="13.5" customWidth="1"/>
    <col min="12801" max="12801" width="13.5" customWidth="1"/>
    <col min="12802" max="12802" width="17" customWidth="1"/>
    <col min="12803" max="12803" width="13.83203125" customWidth="1"/>
    <col min="12805" max="12805" width="13" customWidth="1"/>
    <col min="12806" max="12806" width="17.33203125" customWidth="1"/>
    <col min="12807" max="12807" width="12.5" customWidth="1"/>
    <col min="12808" max="12808" width="17" customWidth="1"/>
    <col min="12809" max="12809" width="13.5" customWidth="1"/>
    <col min="13057" max="13057" width="13.5" customWidth="1"/>
    <col min="13058" max="13058" width="17" customWidth="1"/>
    <col min="13059" max="13059" width="13.83203125" customWidth="1"/>
    <col min="13061" max="13061" width="13" customWidth="1"/>
    <col min="13062" max="13062" width="17.33203125" customWidth="1"/>
    <col min="13063" max="13063" width="12.5" customWidth="1"/>
    <col min="13064" max="13064" width="17" customWidth="1"/>
    <col min="13065" max="13065" width="13.5" customWidth="1"/>
    <col min="13313" max="13313" width="13.5" customWidth="1"/>
    <col min="13314" max="13314" width="17" customWidth="1"/>
    <col min="13315" max="13315" width="13.83203125" customWidth="1"/>
    <col min="13317" max="13317" width="13" customWidth="1"/>
    <col min="13318" max="13318" width="17.33203125" customWidth="1"/>
    <col min="13319" max="13319" width="12.5" customWidth="1"/>
    <col min="13320" max="13320" width="17" customWidth="1"/>
    <col min="13321" max="13321" width="13.5" customWidth="1"/>
    <col min="13569" max="13569" width="13.5" customWidth="1"/>
    <col min="13570" max="13570" width="17" customWidth="1"/>
    <col min="13571" max="13571" width="13.83203125" customWidth="1"/>
    <col min="13573" max="13573" width="13" customWidth="1"/>
    <col min="13574" max="13574" width="17.33203125" customWidth="1"/>
    <col min="13575" max="13575" width="12.5" customWidth="1"/>
    <col min="13576" max="13576" width="17" customWidth="1"/>
    <col min="13577" max="13577" width="13.5" customWidth="1"/>
    <col min="13825" max="13825" width="13.5" customWidth="1"/>
    <col min="13826" max="13826" width="17" customWidth="1"/>
    <col min="13827" max="13827" width="13.83203125" customWidth="1"/>
    <col min="13829" max="13829" width="13" customWidth="1"/>
    <col min="13830" max="13830" width="17.33203125" customWidth="1"/>
    <col min="13831" max="13831" width="12.5" customWidth="1"/>
    <col min="13832" max="13832" width="17" customWidth="1"/>
    <col min="13833" max="13833" width="13.5" customWidth="1"/>
    <col min="14081" max="14081" width="13.5" customWidth="1"/>
    <col min="14082" max="14082" width="17" customWidth="1"/>
    <col min="14083" max="14083" width="13.83203125" customWidth="1"/>
    <col min="14085" max="14085" width="13" customWidth="1"/>
    <col min="14086" max="14086" width="17.33203125" customWidth="1"/>
    <col min="14087" max="14087" width="12.5" customWidth="1"/>
    <col min="14088" max="14088" width="17" customWidth="1"/>
    <col min="14089" max="14089" width="13.5" customWidth="1"/>
    <col min="14337" max="14337" width="13.5" customWidth="1"/>
    <col min="14338" max="14338" width="17" customWidth="1"/>
    <col min="14339" max="14339" width="13.83203125" customWidth="1"/>
    <col min="14341" max="14341" width="13" customWidth="1"/>
    <col min="14342" max="14342" width="17.33203125" customWidth="1"/>
    <col min="14343" max="14343" width="12.5" customWidth="1"/>
    <col min="14344" max="14344" width="17" customWidth="1"/>
    <col min="14345" max="14345" width="13.5" customWidth="1"/>
    <col min="14593" max="14593" width="13.5" customWidth="1"/>
    <col min="14594" max="14594" width="17" customWidth="1"/>
    <col min="14595" max="14595" width="13.83203125" customWidth="1"/>
    <col min="14597" max="14597" width="13" customWidth="1"/>
    <col min="14598" max="14598" width="17.33203125" customWidth="1"/>
    <col min="14599" max="14599" width="12.5" customWidth="1"/>
    <col min="14600" max="14600" width="17" customWidth="1"/>
    <col min="14601" max="14601" width="13.5" customWidth="1"/>
    <col min="14849" max="14849" width="13.5" customWidth="1"/>
    <col min="14850" max="14850" width="17" customWidth="1"/>
    <col min="14851" max="14851" width="13.83203125" customWidth="1"/>
    <col min="14853" max="14853" width="13" customWidth="1"/>
    <col min="14854" max="14854" width="17.33203125" customWidth="1"/>
    <col min="14855" max="14855" width="12.5" customWidth="1"/>
    <col min="14856" max="14856" width="17" customWidth="1"/>
    <col min="14857" max="14857" width="13.5" customWidth="1"/>
    <col min="15105" max="15105" width="13.5" customWidth="1"/>
    <col min="15106" max="15106" width="17" customWidth="1"/>
    <col min="15107" max="15107" width="13.83203125" customWidth="1"/>
    <col min="15109" max="15109" width="13" customWidth="1"/>
    <col min="15110" max="15110" width="17.33203125" customWidth="1"/>
    <col min="15111" max="15111" width="12.5" customWidth="1"/>
    <col min="15112" max="15112" width="17" customWidth="1"/>
    <col min="15113" max="15113" width="13.5" customWidth="1"/>
    <col min="15361" max="15361" width="13.5" customWidth="1"/>
    <col min="15362" max="15362" width="17" customWidth="1"/>
    <col min="15363" max="15363" width="13.83203125" customWidth="1"/>
    <col min="15365" max="15365" width="13" customWidth="1"/>
    <col min="15366" max="15366" width="17.33203125" customWidth="1"/>
    <col min="15367" max="15367" width="12.5" customWidth="1"/>
    <col min="15368" max="15368" width="17" customWidth="1"/>
    <col min="15369" max="15369" width="13.5" customWidth="1"/>
    <col min="15617" max="15617" width="13.5" customWidth="1"/>
    <col min="15618" max="15618" width="17" customWidth="1"/>
    <col min="15619" max="15619" width="13.83203125" customWidth="1"/>
    <col min="15621" max="15621" width="13" customWidth="1"/>
    <col min="15622" max="15622" width="17.33203125" customWidth="1"/>
    <col min="15623" max="15623" width="12.5" customWidth="1"/>
    <col min="15624" max="15624" width="17" customWidth="1"/>
    <col min="15625" max="15625" width="13.5" customWidth="1"/>
    <col min="15873" max="15873" width="13.5" customWidth="1"/>
    <col min="15874" max="15874" width="17" customWidth="1"/>
    <col min="15875" max="15875" width="13.83203125" customWidth="1"/>
    <col min="15877" max="15877" width="13" customWidth="1"/>
    <col min="15878" max="15878" width="17.33203125" customWidth="1"/>
    <col min="15879" max="15879" width="12.5" customWidth="1"/>
    <col min="15880" max="15880" width="17" customWidth="1"/>
    <col min="15881" max="15881" width="13.5" customWidth="1"/>
    <col min="16129" max="16129" width="13.5" customWidth="1"/>
    <col min="16130" max="16130" width="17" customWidth="1"/>
    <col min="16131" max="16131" width="13.83203125" customWidth="1"/>
    <col min="16133" max="16133" width="13" customWidth="1"/>
    <col min="16134" max="16134" width="17.33203125" customWidth="1"/>
    <col min="16135" max="16135" width="12.5" customWidth="1"/>
    <col min="16136" max="16136" width="17" customWidth="1"/>
    <col min="16137" max="16137" width="13.5" customWidth="1"/>
  </cols>
  <sheetData>
    <row r="1" spans="1:10" x14ac:dyDescent="0.2">
      <c r="A1" s="28" t="s">
        <v>88</v>
      </c>
      <c r="B1" s="28"/>
      <c r="C1" s="28"/>
      <c r="D1" s="28"/>
      <c r="E1" s="28"/>
      <c r="F1" s="28"/>
      <c r="G1" s="28"/>
      <c r="H1" s="28"/>
    </row>
    <row r="2" spans="1:10" x14ac:dyDescent="0.2">
      <c r="A2" s="29" t="s">
        <v>127</v>
      </c>
      <c r="B2" s="29"/>
      <c r="C2" s="29"/>
      <c r="D2" s="29"/>
      <c r="E2" s="29"/>
      <c r="F2" s="29"/>
      <c r="G2" s="29"/>
      <c r="H2" s="29"/>
    </row>
    <row r="3" spans="1:10" ht="32" x14ac:dyDescent="0.2">
      <c r="B3" s="5" t="s">
        <v>87</v>
      </c>
      <c r="C3" s="4" t="s">
        <v>86</v>
      </c>
      <c r="F3" s="5" t="s">
        <v>87</v>
      </c>
      <c r="G3" s="4" t="s">
        <v>86</v>
      </c>
      <c r="I3" s="3" t="s">
        <v>89</v>
      </c>
    </row>
    <row r="4" spans="1:10" x14ac:dyDescent="0.2">
      <c r="A4" t="s">
        <v>85</v>
      </c>
      <c r="B4" s="24">
        <v>5.39</v>
      </c>
      <c r="C4" s="21">
        <v>1</v>
      </c>
      <c r="E4" t="s">
        <v>84</v>
      </c>
      <c r="F4" s="24">
        <f>(4.54+5.05+3.42)/3</f>
        <v>4.3366666666666669</v>
      </c>
      <c r="G4" s="21">
        <v>3</v>
      </c>
      <c r="I4" s="1" t="s">
        <v>83</v>
      </c>
      <c r="J4" s="2">
        <v>4.08</v>
      </c>
    </row>
    <row r="5" spans="1:10" x14ac:dyDescent="0.2">
      <c r="A5" t="s">
        <v>82</v>
      </c>
      <c r="B5" s="25">
        <f>(3.9+4.58+3.23+4.31+4.68+2.9+3.88+3.94+4+3.91+3.92+2.11+6.86+4.33+3.6+3.51+4.22+3.34+3.79+2.43+2.71+4.05+3.21+3.53+3.59+3.38+3.48+3.35+4.17+2.7+3.5+3.3+3.72+3.93)/34</f>
        <v>3.7076470588235293</v>
      </c>
      <c r="C5" s="26">
        <v>34</v>
      </c>
      <c r="E5" t="s">
        <v>81</v>
      </c>
      <c r="F5" s="25">
        <f>(4.6+3.99+4.88+4.49+3.32)/5</f>
        <v>4.2560000000000002</v>
      </c>
      <c r="G5" s="26">
        <v>5</v>
      </c>
      <c r="I5" s="1" t="s">
        <v>94</v>
      </c>
      <c r="J5" s="2">
        <v>4.8899999999999997</v>
      </c>
    </row>
    <row r="6" spans="1:10" x14ac:dyDescent="0.2">
      <c r="A6" t="s">
        <v>79</v>
      </c>
      <c r="B6" s="25">
        <v>5.81</v>
      </c>
      <c r="C6" s="26">
        <v>1</v>
      </c>
      <c r="E6" t="s">
        <v>78</v>
      </c>
      <c r="F6" s="25">
        <f>(5.49+5.91+5.02+5.27+5.54+5.08+3.57+6.39+4.14+4.17+4.92+5.96+2.3+5.41+6.48+6.4+5+4.18+5.36)/19</f>
        <v>5.0836842105263171</v>
      </c>
      <c r="G6" s="26">
        <v>19</v>
      </c>
      <c r="I6" s="1" t="s">
        <v>80</v>
      </c>
      <c r="J6" s="2">
        <v>4.5599999999999996</v>
      </c>
    </row>
    <row r="7" spans="1:10" x14ac:dyDescent="0.2">
      <c r="A7" t="s">
        <v>76</v>
      </c>
      <c r="B7" s="24">
        <v>2.85</v>
      </c>
      <c r="C7" s="21">
        <v>1</v>
      </c>
      <c r="E7" t="s">
        <v>75</v>
      </c>
      <c r="F7" s="24">
        <v>8.1999999999999993</v>
      </c>
      <c r="G7" s="21">
        <v>1</v>
      </c>
      <c r="I7" s="1" t="s">
        <v>77</v>
      </c>
      <c r="J7" s="2">
        <v>5.26</v>
      </c>
    </row>
    <row r="8" spans="1:10" x14ac:dyDescent="0.2">
      <c r="A8" t="s">
        <v>73</v>
      </c>
      <c r="B8" s="24">
        <f>(4.77+5.05+3.95)/3</f>
        <v>4.59</v>
      </c>
      <c r="C8" s="21">
        <v>3</v>
      </c>
      <c r="E8" t="s">
        <v>72</v>
      </c>
      <c r="F8" s="24">
        <f>(5.95+4.94+4.59+5.4+1.6+4.77+4.93+4.93+5.34)/9</f>
        <v>4.7166666666666668</v>
      </c>
      <c r="G8" s="21">
        <v>9</v>
      </c>
      <c r="I8" s="1" t="s">
        <v>95</v>
      </c>
      <c r="J8" s="2">
        <v>4.88</v>
      </c>
    </row>
    <row r="9" spans="1:10" x14ac:dyDescent="0.2">
      <c r="A9" t="s">
        <v>71</v>
      </c>
      <c r="B9" s="25" t="s">
        <v>117</v>
      </c>
      <c r="C9" s="26">
        <v>0</v>
      </c>
      <c r="E9" t="s">
        <v>70</v>
      </c>
      <c r="F9" s="25">
        <f>(4.95+6.02+4.94+5.98)/4</f>
        <v>5.4725000000000001</v>
      </c>
      <c r="G9" s="26">
        <v>4</v>
      </c>
      <c r="I9" s="1" t="s">
        <v>96</v>
      </c>
      <c r="J9" s="2">
        <v>4.6399999999999997</v>
      </c>
    </row>
    <row r="10" spans="1:10" x14ac:dyDescent="0.2">
      <c r="A10" t="s">
        <v>69</v>
      </c>
      <c r="B10" s="25">
        <v>3.58</v>
      </c>
      <c r="C10" s="26">
        <v>1</v>
      </c>
      <c r="E10" t="s">
        <v>68</v>
      </c>
      <c r="F10" s="25">
        <f>(5.88+6.7+4.94+2.91)/4</f>
        <v>5.1074999999999999</v>
      </c>
      <c r="G10" s="26">
        <v>4</v>
      </c>
      <c r="I10" s="1" t="s">
        <v>97</v>
      </c>
      <c r="J10" s="2">
        <v>4.53</v>
      </c>
    </row>
    <row r="11" spans="1:10" x14ac:dyDescent="0.2">
      <c r="A11" t="s">
        <v>66</v>
      </c>
      <c r="B11" s="24">
        <f>(4.17+4.63)/2</f>
        <v>4.4000000000000004</v>
      </c>
      <c r="C11" s="21">
        <v>2</v>
      </c>
      <c r="E11" t="s">
        <v>65</v>
      </c>
      <c r="F11" s="24">
        <f>(4.46+3.89+5.66+4.67+5.17+3.14+4.73+4.91+4.85+4.49)/10</f>
        <v>4.5970000000000004</v>
      </c>
      <c r="G11" s="21">
        <v>10</v>
      </c>
      <c r="I11" s="1" t="s">
        <v>74</v>
      </c>
      <c r="J11" s="2">
        <v>5.3</v>
      </c>
    </row>
    <row r="12" spans="1:10" x14ac:dyDescent="0.2">
      <c r="A12" t="s">
        <v>63</v>
      </c>
      <c r="B12" s="24" t="s">
        <v>117</v>
      </c>
      <c r="C12" s="21">
        <v>0</v>
      </c>
      <c r="E12" t="s">
        <v>62</v>
      </c>
      <c r="F12" s="24" t="s">
        <v>117</v>
      </c>
      <c r="G12" s="21">
        <v>0</v>
      </c>
      <c r="I12" s="1" t="s">
        <v>98</v>
      </c>
      <c r="J12" s="2">
        <v>4.8</v>
      </c>
    </row>
    <row r="13" spans="1:10" x14ac:dyDescent="0.2">
      <c r="A13" t="s">
        <v>61</v>
      </c>
      <c r="B13" s="25" t="s">
        <v>117</v>
      </c>
      <c r="C13" s="26">
        <v>0</v>
      </c>
      <c r="E13" t="s">
        <v>60</v>
      </c>
      <c r="F13" s="25">
        <v>6.58</v>
      </c>
      <c r="G13" s="26">
        <v>1</v>
      </c>
      <c r="I13" s="1" t="s">
        <v>99</v>
      </c>
      <c r="J13" s="2">
        <v>5</v>
      </c>
    </row>
    <row r="14" spans="1:10" x14ac:dyDescent="0.2">
      <c r="A14" t="s">
        <v>59</v>
      </c>
      <c r="B14" s="25">
        <v>6.54</v>
      </c>
      <c r="C14" s="26">
        <v>1</v>
      </c>
      <c r="E14" t="s">
        <v>58</v>
      </c>
      <c r="F14" s="25">
        <f>(4.34+4.8+4.05+4.77+4.69+4.88+3.84+4.47+4.43+3.53+4.65+3.72+4.65+4.79+4.63+4.93+4.53+4.31+4.77+4.56+4.23+4.35)/22</f>
        <v>4.4509090909090903</v>
      </c>
      <c r="G14" s="26">
        <v>22</v>
      </c>
      <c r="I14" s="1" t="s">
        <v>100</v>
      </c>
      <c r="J14" s="2">
        <v>5.0199999999999996</v>
      </c>
    </row>
    <row r="15" spans="1:10" x14ac:dyDescent="0.2">
      <c r="A15" t="s">
        <v>57</v>
      </c>
      <c r="B15" s="24">
        <f>(9.64+0)/2</f>
        <v>4.82</v>
      </c>
      <c r="C15" s="21">
        <v>2</v>
      </c>
      <c r="E15" t="s">
        <v>56</v>
      </c>
      <c r="F15" s="24" t="s">
        <v>117</v>
      </c>
      <c r="G15" s="21">
        <v>0</v>
      </c>
      <c r="I15" s="1" t="s">
        <v>101</v>
      </c>
      <c r="J15" s="2">
        <v>5.01</v>
      </c>
    </row>
    <row r="16" spans="1:10" x14ac:dyDescent="0.2">
      <c r="A16" t="s">
        <v>54</v>
      </c>
      <c r="B16" s="24">
        <f>(4.77+6.88+6.58)/3</f>
        <v>6.0766666666666653</v>
      </c>
      <c r="C16" s="21">
        <v>3</v>
      </c>
      <c r="E16" t="s">
        <v>53</v>
      </c>
      <c r="F16" s="24">
        <v>5.03</v>
      </c>
      <c r="G16" s="21">
        <v>1</v>
      </c>
      <c r="I16" s="1" t="s">
        <v>102</v>
      </c>
      <c r="J16" s="2">
        <v>4.29</v>
      </c>
    </row>
    <row r="17" spans="1:10" x14ac:dyDescent="0.2">
      <c r="A17" t="s">
        <v>52</v>
      </c>
      <c r="B17" s="25">
        <v>6.18</v>
      </c>
      <c r="C17" s="26">
        <v>1</v>
      </c>
      <c r="E17" t="s">
        <v>51</v>
      </c>
      <c r="F17" s="25">
        <f>(4.39+4.59+4.78+4+4.49+3.85+4.27+3.59+4.48+4.5+3.94)/11</f>
        <v>4.2618181818181817</v>
      </c>
      <c r="G17" s="26">
        <v>11</v>
      </c>
      <c r="I17" s="1" t="s">
        <v>103</v>
      </c>
      <c r="J17" s="2">
        <v>4.25</v>
      </c>
    </row>
    <row r="18" spans="1:10" x14ac:dyDescent="0.2">
      <c r="A18" t="s">
        <v>49</v>
      </c>
      <c r="B18" s="25" t="s">
        <v>117</v>
      </c>
      <c r="C18" s="26">
        <v>0</v>
      </c>
      <c r="E18" t="s">
        <v>48</v>
      </c>
      <c r="F18" s="25">
        <f>(4.28+5+7.32+4.25+5.18+1.46+5.92+2.7+6.95+5.57+5.16+4.34+4.94+1.74+4.36+3.32+3.43+4.11+0.95+4.77+5.32+4.5+4.17+2.89+0+7.35)/26</f>
        <v>4.2299999999999995</v>
      </c>
      <c r="G18" s="26">
        <v>26</v>
      </c>
      <c r="I18" s="1" t="s">
        <v>67</v>
      </c>
      <c r="J18" s="2">
        <v>4.3099999999999996</v>
      </c>
    </row>
    <row r="19" spans="1:10" x14ac:dyDescent="0.2">
      <c r="A19" t="s">
        <v>46</v>
      </c>
      <c r="B19" s="24" t="s">
        <v>117</v>
      </c>
      <c r="C19" s="21">
        <v>0</v>
      </c>
      <c r="E19" t="s">
        <v>45</v>
      </c>
      <c r="F19" s="24">
        <f>(7.01+8.5+7.95)/3</f>
        <v>7.82</v>
      </c>
      <c r="G19" s="21">
        <v>3</v>
      </c>
      <c r="I19" s="1" t="s">
        <v>64</v>
      </c>
      <c r="J19" s="2">
        <v>4.5199999999999996</v>
      </c>
    </row>
    <row r="20" spans="1:10" x14ac:dyDescent="0.2">
      <c r="A20" t="s">
        <v>43</v>
      </c>
      <c r="B20" s="24">
        <f>(6.72+5.32+5.18+5.17+4.37+5.7+0.25)/7</f>
        <v>4.6728571428571426</v>
      </c>
      <c r="C20" s="21">
        <v>7</v>
      </c>
      <c r="E20" t="s">
        <v>42</v>
      </c>
      <c r="F20" s="24">
        <f>(6.97+6.1+8.5+6.42)/4</f>
        <v>6.9975000000000005</v>
      </c>
      <c r="G20" s="21">
        <v>4</v>
      </c>
      <c r="I20" s="1" t="s">
        <v>104</v>
      </c>
      <c r="J20" s="2">
        <v>3.56</v>
      </c>
    </row>
    <row r="21" spans="1:10" x14ac:dyDescent="0.2">
      <c r="A21" t="s">
        <v>40</v>
      </c>
      <c r="B21" s="25" t="s">
        <v>117</v>
      </c>
      <c r="C21" s="26">
        <v>0</v>
      </c>
      <c r="E21" t="s">
        <v>39</v>
      </c>
      <c r="F21" s="25">
        <f>(5.42+6.58+4.69+5.51+5.49+5.23+3.39)/7</f>
        <v>5.1871428571428577</v>
      </c>
      <c r="G21" s="26">
        <v>7</v>
      </c>
      <c r="I21" s="1" t="s">
        <v>105</v>
      </c>
      <c r="J21" s="2">
        <v>4.51</v>
      </c>
    </row>
    <row r="22" spans="1:10" x14ac:dyDescent="0.2">
      <c r="A22" t="s">
        <v>37</v>
      </c>
      <c r="B22" s="25" t="s">
        <v>117</v>
      </c>
      <c r="C22" s="26">
        <v>0</v>
      </c>
      <c r="E22" t="s">
        <v>36</v>
      </c>
      <c r="F22" s="25" t="s">
        <v>117</v>
      </c>
      <c r="G22" s="26">
        <v>0</v>
      </c>
      <c r="I22" s="1" t="s">
        <v>10</v>
      </c>
      <c r="J22" s="2">
        <v>5.57</v>
      </c>
    </row>
    <row r="23" spans="1:10" x14ac:dyDescent="0.2">
      <c r="A23" t="s">
        <v>35</v>
      </c>
      <c r="B23" s="24">
        <v>5.62</v>
      </c>
      <c r="C23" s="21">
        <v>1</v>
      </c>
      <c r="E23" t="s">
        <v>34</v>
      </c>
      <c r="F23" s="24" t="s">
        <v>117</v>
      </c>
      <c r="G23" s="21">
        <v>0</v>
      </c>
      <c r="I23" s="1" t="s">
        <v>115</v>
      </c>
      <c r="J23" s="2">
        <v>3.92</v>
      </c>
    </row>
    <row r="24" spans="1:10" x14ac:dyDescent="0.2">
      <c r="A24" t="s">
        <v>32</v>
      </c>
      <c r="B24" s="24" t="s">
        <v>117</v>
      </c>
      <c r="C24" s="21">
        <v>0</v>
      </c>
      <c r="E24" t="s">
        <v>31</v>
      </c>
      <c r="F24" s="24" t="s">
        <v>117</v>
      </c>
      <c r="G24" s="21">
        <v>0</v>
      </c>
      <c r="I24" s="1" t="s">
        <v>106</v>
      </c>
      <c r="J24" s="2">
        <v>4.71</v>
      </c>
    </row>
    <row r="25" spans="1:10" x14ac:dyDescent="0.2">
      <c r="A25" t="s">
        <v>29</v>
      </c>
      <c r="B25" s="25">
        <f>(5.17+5.17+6.1)/3</f>
        <v>5.4799999999999995</v>
      </c>
      <c r="C25" s="26">
        <v>3</v>
      </c>
      <c r="E25" t="s">
        <v>28</v>
      </c>
      <c r="F25" s="25">
        <v>5.45</v>
      </c>
      <c r="G25" s="26">
        <v>1</v>
      </c>
      <c r="I25" s="1" t="s">
        <v>55</v>
      </c>
      <c r="J25" s="2">
        <v>5.48</v>
      </c>
    </row>
    <row r="26" spans="1:10" x14ac:dyDescent="0.2">
      <c r="A26" t="s">
        <v>26</v>
      </c>
      <c r="B26" s="25" t="s">
        <v>117</v>
      </c>
      <c r="C26" s="26">
        <v>0</v>
      </c>
      <c r="E26" t="s">
        <v>25</v>
      </c>
      <c r="F26" s="25">
        <f>(5.5+4.77)/2</f>
        <v>5.1349999999999998</v>
      </c>
      <c r="G26" s="26">
        <v>2</v>
      </c>
      <c r="I26" s="1" t="s">
        <v>116</v>
      </c>
      <c r="J26" s="2">
        <v>5.89</v>
      </c>
    </row>
    <row r="27" spans="1:10" x14ac:dyDescent="0.2">
      <c r="A27" t="s">
        <v>23</v>
      </c>
      <c r="B27" s="24">
        <v>8.5500000000000007</v>
      </c>
      <c r="C27" s="21">
        <v>1</v>
      </c>
      <c r="E27" t="s">
        <v>22</v>
      </c>
      <c r="F27" s="24">
        <f>(4.81+4.45+4.29+4.57+4.64+4.57)/6</f>
        <v>4.5550000000000006</v>
      </c>
      <c r="G27" s="21">
        <v>6</v>
      </c>
      <c r="I27" s="1" t="s">
        <v>107</v>
      </c>
      <c r="J27" s="2">
        <v>5.26</v>
      </c>
    </row>
    <row r="28" spans="1:10" x14ac:dyDescent="0.2">
      <c r="A28" t="s">
        <v>20</v>
      </c>
      <c r="B28" s="24">
        <f>(3.86+5.06+3.76+4.44+4.56+5.21+2.22)/7</f>
        <v>4.1585714285714284</v>
      </c>
      <c r="C28" s="21">
        <v>7</v>
      </c>
      <c r="E28" t="s">
        <v>19</v>
      </c>
      <c r="F28" s="24">
        <f>(4.69+5.13+5.37+3.62+4.4+6.09+4.93+3.38+6.57+4.89+5+4.25+6.67+4.95+0.85+6.15)/16</f>
        <v>4.8087500000000007</v>
      </c>
      <c r="G28" s="21">
        <v>16</v>
      </c>
      <c r="I28" s="1" t="s">
        <v>50</v>
      </c>
      <c r="J28" s="2">
        <v>3.92</v>
      </c>
    </row>
    <row r="29" spans="1:10" x14ac:dyDescent="0.2">
      <c r="A29" t="s">
        <v>17</v>
      </c>
      <c r="B29" s="25">
        <f>(6.67+5.35+5.9+6.64)/4</f>
        <v>6.1400000000000006</v>
      </c>
      <c r="C29" s="26">
        <v>4</v>
      </c>
      <c r="E29" t="s">
        <v>16</v>
      </c>
      <c r="F29" s="25" t="s">
        <v>117</v>
      </c>
      <c r="G29" s="26">
        <v>0</v>
      </c>
      <c r="I29" s="1" t="s">
        <v>47</v>
      </c>
      <c r="J29" s="2">
        <v>5.59</v>
      </c>
    </row>
    <row r="30" spans="1:10" x14ac:dyDescent="0.2">
      <c r="A30" t="s">
        <v>14</v>
      </c>
      <c r="B30" s="25">
        <v>6.4</v>
      </c>
      <c r="C30" s="26">
        <v>1</v>
      </c>
      <c r="E30" t="s">
        <v>13</v>
      </c>
      <c r="F30" s="25">
        <f>(5.76+4.43+6.75)/3</f>
        <v>5.6466666666666656</v>
      </c>
      <c r="G30" s="26">
        <v>3</v>
      </c>
      <c r="I30" s="1" t="s">
        <v>44</v>
      </c>
      <c r="J30" s="2">
        <v>5.15</v>
      </c>
    </row>
    <row r="31" spans="1:10" x14ac:dyDescent="0.2">
      <c r="A31" t="s">
        <v>12</v>
      </c>
      <c r="B31" s="24">
        <f>(4.29+4.48+0.2)/3</f>
        <v>2.9899999999999998</v>
      </c>
      <c r="C31" s="21">
        <v>3</v>
      </c>
      <c r="E31" t="s">
        <v>11</v>
      </c>
      <c r="F31" s="24">
        <v>5.0599999999999996</v>
      </c>
      <c r="G31" s="21">
        <v>1</v>
      </c>
      <c r="I31" s="1" t="s">
        <v>41</v>
      </c>
      <c r="J31" s="2">
        <v>5.0999999999999996</v>
      </c>
    </row>
    <row r="32" spans="1:10" x14ac:dyDescent="0.2">
      <c r="A32" t="s">
        <v>10</v>
      </c>
      <c r="B32" s="24">
        <v>6.23</v>
      </c>
      <c r="C32" s="21">
        <v>1</v>
      </c>
      <c r="E32" t="s">
        <v>9</v>
      </c>
      <c r="F32" s="24">
        <f>(4.77+5.88+7.52+5.49+6.31)/5</f>
        <v>5.9939999999999989</v>
      </c>
      <c r="G32" s="21">
        <v>5</v>
      </c>
      <c r="I32" s="1" t="s">
        <v>38</v>
      </c>
      <c r="J32" s="2">
        <v>5.38</v>
      </c>
    </row>
    <row r="33" spans="1:10" x14ac:dyDescent="0.2">
      <c r="A33" t="s">
        <v>8</v>
      </c>
      <c r="B33" s="25" t="s">
        <v>117</v>
      </c>
      <c r="C33" s="26">
        <v>0</v>
      </c>
      <c r="E33" t="s">
        <v>7</v>
      </c>
      <c r="F33" s="25">
        <v>7.14</v>
      </c>
      <c r="G33" s="26">
        <v>1</v>
      </c>
      <c r="I33" s="1" t="s">
        <v>108</v>
      </c>
      <c r="J33" s="2">
        <v>4.59</v>
      </c>
    </row>
    <row r="34" spans="1:10" x14ac:dyDescent="0.2">
      <c r="A34" t="s">
        <v>6</v>
      </c>
      <c r="B34" s="22" t="s">
        <v>117</v>
      </c>
      <c r="C34" s="23">
        <v>0</v>
      </c>
      <c r="E34" t="s">
        <v>5</v>
      </c>
      <c r="F34" s="25">
        <v>7.59</v>
      </c>
      <c r="G34" s="26">
        <v>1</v>
      </c>
      <c r="I34" s="1" t="s">
        <v>109</v>
      </c>
      <c r="J34" s="2">
        <v>5.16</v>
      </c>
    </row>
    <row r="35" spans="1:10" x14ac:dyDescent="0.2">
      <c r="A35" t="s">
        <v>4</v>
      </c>
      <c r="B35" s="24" t="s">
        <v>117</v>
      </c>
      <c r="C35" s="21">
        <v>0</v>
      </c>
      <c r="E35" t="s">
        <v>3</v>
      </c>
      <c r="F35" s="24">
        <f>(8.36+6.85)/2</f>
        <v>7.6049999999999995</v>
      </c>
      <c r="G35" s="21">
        <v>2</v>
      </c>
      <c r="I35" s="1" t="s">
        <v>110</v>
      </c>
      <c r="J35" s="2">
        <v>5.01</v>
      </c>
    </row>
    <row r="36" spans="1:10" x14ac:dyDescent="0.2">
      <c r="A36" t="s">
        <v>2</v>
      </c>
      <c r="B36" s="24" t="s">
        <v>117</v>
      </c>
      <c r="C36" s="21">
        <v>0</v>
      </c>
      <c r="E36" t="s">
        <v>1</v>
      </c>
      <c r="F36" s="24">
        <f>(7.47+5.23)/2</f>
        <v>6.35</v>
      </c>
      <c r="G36" s="21">
        <v>2</v>
      </c>
      <c r="I36" s="1" t="s">
        <v>111</v>
      </c>
      <c r="J36" s="2">
        <v>5.0599999999999996</v>
      </c>
    </row>
    <row r="37" spans="1:10" x14ac:dyDescent="0.2">
      <c r="A37" t="s">
        <v>0</v>
      </c>
      <c r="B37" s="25" t="s">
        <v>117</v>
      </c>
      <c r="C37" s="26">
        <v>0</v>
      </c>
      <c r="I37" s="1" t="s">
        <v>33</v>
      </c>
      <c r="J37" s="2">
        <v>5.18</v>
      </c>
    </row>
    <row r="38" spans="1:10" x14ac:dyDescent="0.2">
      <c r="I38" s="1" t="s">
        <v>30</v>
      </c>
      <c r="J38" s="2">
        <v>4.9000000000000004</v>
      </c>
    </row>
    <row r="39" spans="1:10" x14ac:dyDescent="0.2">
      <c r="I39" s="1" t="s">
        <v>27</v>
      </c>
      <c r="J39" s="2">
        <v>5.23</v>
      </c>
    </row>
    <row r="40" spans="1:10" x14ac:dyDescent="0.2">
      <c r="I40" s="1" t="s">
        <v>24</v>
      </c>
      <c r="J40" s="2">
        <v>4.74</v>
      </c>
    </row>
    <row r="41" spans="1:10" x14ac:dyDescent="0.2">
      <c r="I41" s="1" t="s">
        <v>21</v>
      </c>
      <c r="J41" s="2">
        <v>4.45</v>
      </c>
    </row>
    <row r="42" spans="1:10" x14ac:dyDescent="0.2">
      <c r="I42" s="1" t="s">
        <v>113</v>
      </c>
      <c r="J42" s="2">
        <v>4.6399999999999997</v>
      </c>
    </row>
    <row r="43" spans="1:10" x14ac:dyDescent="0.2">
      <c r="I43" s="1" t="s">
        <v>18</v>
      </c>
      <c r="J43" s="2">
        <v>5.52</v>
      </c>
    </row>
    <row r="44" spans="1:10" x14ac:dyDescent="0.2">
      <c r="I44" s="1" t="s">
        <v>112</v>
      </c>
      <c r="J44" s="2">
        <v>5.12</v>
      </c>
    </row>
    <row r="45" spans="1:10" x14ac:dyDescent="0.2">
      <c r="I45" s="1" t="s">
        <v>15</v>
      </c>
      <c r="J45" s="2">
        <v>4.68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5"/>
  <sheetViews>
    <sheetView topLeftCell="D8" zoomScaleNormal="100" workbookViewId="0">
      <selection activeCell="G37" sqref="G37"/>
    </sheetView>
  </sheetViews>
  <sheetFormatPr baseColWidth="10" defaultColWidth="8.83203125" defaultRowHeight="15" x14ac:dyDescent="0.2"/>
  <cols>
    <col min="1" max="1" width="13.5" customWidth="1"/>
    <col min="2" max="2" width="17" customWidth="1"/>
    <col min="3" max="3" width="13.832031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257" max="257" width="13.5" customWidth="1"/>
    <col min="258" max="258" width="17" customWidth="1"/>
    <col min="259" max="259" width="13.83203125" customWidth="1"/>
    <col min="261" max="261" width="13" customWidth="1"/>
    <col min="262" max="262" width="17.33203125" customWidth="1"/>
    <col min="263" max="263" width="12.5" customWidth="1"/>
    <col min="264" max="264" width="17" customWidth="1"/>
    <col min="265" max="265" width="13.5" customWidth="1"/>
    <col min="513" max="513" width="13.5" customWidth="1"/>
    <col min="514" max="514" width="17" customWidth="1"/>
    <col min="515" max="515" width="13.83203125" customWidth="1"/>
    <col min="517" max="517" width="13" customWidth="1"/>
    <col min="518" max="518" width="17.33203125" customWidth="1"/>
    <col min="519" max="519" width="12.5" customWidth="1"/>
    <col min="520" max="520" width="17" customWidth="1"/>
    <col min="521" max="521" width="13.5" customWidth="1"/>
    <col min="769" max="769" width="13.5" customWidth="1"/>
    <col min="770" max="770" width="17" customWidth="1"/>
    <col min="771" max="771" width="13.83203125" customWidth="1"/>
    <col min="773" max="773" width="13" customWidth="1"/>
    <col min="774" max="774" width="17.33203125" customWidth="1"/>
    <col min="775" max="775" width="12.5" customWidth="1"/>
    <col min="776" max="776" width="17" customWidth="1"/>
    <col min="777" max="777" width="13.5" customWidth="1"/>
    <col min="1025" max="1025" width="13.5" customWidth="1"/>
    <col min="1026" max="1026" width="17" customWidth="1"/>
    <col min="1027" max="1027" width="13.83203125" customWidth="1"/>
    <col min="1029" max="1029" width="13" customWidth="1"/>
    <col min="1030" max="1030" width="17.33203125" customWidth="1"/>
    <col min="1031" max="1031" width="12.5" customWidth="1"/>
    <col min="1032" max="1032" width="17" customWidth="1"/>
    <col min="1033" max="1033" width="13.5" customWidth="1"/>
    <col min="1281" max="1281" width="13.5" customWidth="1"/>
    <col min="1282" max="1282" width="17" customWidth="1"/>
    <col min="1283" max="1283" width="13.83203125" customWidth="1"/>
    <col min="1285" max="1285" width="13" customWidth="1"/>
    <col min="1286" max="1286" width="17.33203125" customWidth="1"/>
    <col min="1287" max="1287" width="12.5" customWidth="1"/>
    <col min="1288" max="1288" width="17" customWidth="1"/>
    <col min="1289" max="1289" width="13.5" customWidth="1"/>
    <col min="1537" max="1537" width="13.5" customWidth="1"/>
    <col min="1538" max="1538" width="17" customWidth="1"/>
    <col min="1539" max="1539" width="13.83203125" customWidth="1"/>
    <col min="1541" max="1541" width="13" customWidth="1"/>
    <col min="1542" max="1542" width="17.33203125" customWidth="1"/>
    <col min="1543" max="1543" width="12.5" customWidth="1"/>
    <col min="1544" max="1544" width="17" customWidth="1"/>
    <col min="1545" max="1545" width="13.5" customWidth="1"/>
    <col min="1793" max="1793" width="13.5" customWidth="1"/>
    <col min="1794" max="1794" width="17" customWidth="1"/>
    <col min="1795" max="1795" width="13.83203125" customWidth="1"/>
    <col min="1797" max="1797" width="13" customWidth="1"/>
    <col min="1798" max="1798" width="17.33203125" customWidth="1"/>
    <col min="1799" max="1799" width="12.5" customWidth="1"/>
    <col min="1800" max="1800" width="17" customWidth="1"/>
    <col min="1801" max="1801" width="13.5" customWidth="1"/>
    <col min="2049" max="2049" width="13.5" customWidth="1"/>
    <col min="2050" max="2050" width="17" customWidth="1"/>
    <col min="2051" max="2051" width="13.83203125" customWidth="1"/>
    <col min="2053" max="2053" width="13" customWidth="1"/>
    <col min="2054" max="2054" width="17.33203125" customWidth="1"/>
    <col min="2055" max="2055" width="12.5" customWidth="1"/>
    <col min="2056" max="2056" width="17" customWidth="1"/>
    <col min="2057" max="2057" width="13.5" customWidth="1"/>
    <col min="2305" max="2305" width="13.5" customWidth="1"/>
    <col min="2306" max="2306" width="17" customWidth="1"/>
    <col min="2307" max="2307" width="13.83203125" customWidth="1"/>
    <col min="2309" max="2309" width="13" customWidth="1"/>
    <col min="2310" max="2310" width="17.33203125" customWidth="1"/>
    <col min="2311" max="2311" width="12.5" customWidth="1"/>
    <col min="2312" max="2312" width="17" customWidth="1"/>
    <col min="2313" max="2313" width="13.5" customWidth="1"/>
    <col min="2561" max="2561" width="13.5" customWidth="1"/>
    <col min="2562" max="2562" width="17" customWidth="1"/>
    <col min="2563" max="2563" width="13.83203125" customWidth="1"/>
    <col min="2565" max="2565" width="13" customWidth="1"/>
    <col min="2566" max="2566" width="17.33203125" customWidth="1"/>
    <col min="2567" max="2567" width="12.5" customWidth="1"/>
    <col min="2568" max="2568" width="17" customWidth="1"/>
    <col min="2569" max="2569" width="13.5" customWidth="1"/>
    <col min="2817" max="2817" width="13.5" customWidth="1"/>
    <col min="2818" max="2818" width="17" customWidth="1"/>
    <col min="2819" max="2819" width="13.83203125" customWidth="1"/>
    <col min="2821" max="2821" width="13" customWidth="1"/>
    <col min="2822" max="2822" width="17.33203125" customWidth="1"/>
    <col min="2823" max="2823" width="12.5" customWidth="1"/>
    <col min="2824" max="2824" width="17" customWidth="1"/>
    <col min="2825" max="2825" width="13.5" customWidth="1"/>
    <col min="3073" max="3073" width="13.5" customWidth="1"/>
    <col min="3074" max="3074" width="17" customWidth="1"/>
    <col min="3075" max="3075" width="13.83203125" customWidth="1"/>
    <col min="3077" max="3077" width="13" customWidth="1"/>
    <col min="3078" max="3078" width="17.33203125" customWidth="1"/>
    <col min="3079" max="3079" width="12.5" customWidth="1"/>
    <col min="3080" max="3080" width="17" customWidth="1"/>
    <col min="3081" max="3081" width="13.5" customWidth="1"/>
    <col min="3329" max="3329" width="13.5" customWidth="1"/>
    <col min="3330" max="3330" width="17" customWidth="1"/>
    <col min="3331" max="3331" width="13.83203125" customWidth="1"/>
    <col min="3333" max="3333" width="13" customWidth="1"/>
    <col min="3334" max="3334" width="17.33203125" customWidth="1"/>
    <col min="3335" max="3335" width="12.5" customWidth="1"/>
    <col min="3336" max="3336" width="17" customWidth="1"/>
    <col min="3337" max="3337" width="13.5" customWidth="1"/>
    <col min="3585" max="3585" width="13.5" customWidth="1"/>
    <col min="3586" max="3586" width="17" customWidth="1"/>
    <col min="3587" max="3587" width="13.83203125" customWidth="1"/>
    <col min="3589" max="3589" width="13" customWidth="1"/>
    <col min="3590" max="3590" width="17.33203125" customWidth="1"/>
    <col min="3591" max="3591" width="12.5" customWidth="1"/>
    <col min="3592" max="3592" width="17" customWidth="1"/>
    <col min="3593" max="3593" width="13.5" customWidth="1"/>
    <col min="3841" max="3841" width="13.5" customWidth="1"/>
    <col min="3842" max="3842" width="17" customWidth="1"/>
    <col min="3843" max="3843" width="13.83203125" customWidth="1"/>
    <col min="3845" max="3845" width="13" customWidth="1"/>
    <col min="3846" max="3846" width="17.33203125" customWidth="1"/>
    <col min="3847" max="3847" width="12.5" customWidth="1"/>
    <col min="3848" max="3848" width="17" customWidth="1"/>
    <col min="3849" max="3849" width="13.5" customWidth="1"/>
    <col min="4097" max="4097" width="13.5" customWidth="1"/>
    <col min="4098" max="4098" width="17" customWidth="1"/>
    <col min="4099" max="4099" width="13.83203125" customWidth="1"/>
    <col min="4101" max="4101" width="13" customWidth="1"/>
    <col min="4102" max="4102" width="17.33203125" customWidth="1"/>
    <col min="4103" max="4103" width="12.5" customWidth="1"/>
    <col min="4104" max="4104" width="17" customWidth="1"/>
    <col min="4105" max="4105" width="13.5" customWidth="1"/>
    <col min="4353" max="4353" width="13.5" customWidth="1"/>
    <col min="4354" max="4354" width="17" customWidth="1"/>
    <col min="4355" max="4355" width="13.83203125" customWidth="1"/>
    <col min="4357" max="4357" width="13" customWidth="1"/>
    <col min="4358" max="4358" width="17.33203125" customWidth="1"/>
    <col min="4359" max="4359" width="12.5" customWidth="1"/>
    <col min="4360" max="4360" width="17" customWidth="1"/>
    <col min="4361" max="4361" width="13.5" customWidth="1"/>
    <col min="4609" max="4609" width="13.5" customWidth="1"/>
    <col min="4610" max="4610" width="17" customWidth="1"/>
    <col min="4611" max="4611" width="13.83203125" customWidth="1"/>
    <col min="4613" max="4613" width="13" customWidth="1"/>
    <col min="4614" max="4614" width="17.33203125" customWidth="1"/>
    <col min="4615" max="4615" width="12.5" customWidth="1"/>
    <col min="4616" max="4616" width="17" customWidth="1"/>
    <col min="4617" max="4617" width="13.5" customWidth="1"/>
    <col min="4865" max="4865" width="13.5" customWidth="1"/>
    <col min="4866" max="4866" width="17" customWidth="1"/>
    <col min="4867" max="4867" width="13.83203125" customWidth="1"/>
    <col min="4869" max="4869" width="13" customWidth="1"/>
    <col min="4870" max="4870" width="17.33203125" customWidth="1"/>
    <col min="4871" max="4871" width="12.5" customWidth="1"/>
    <col min="4872" max="4872" width="17" customWidth="1"/>
    <col min="4873" max="4873" width="13.5" customWidth="1"/>
    <col min="5121" max="5121" width="13.5" customWidth="1"/>
    <col min="5122" max="5122" width="17" customWidth="1"/>
    <col min="5123" max="5123" width="13.83203125" customWidth="1"/>
    <col min="5125" max="5125" width="13" customWidth="1"/>
    <col min="5126" max="5126" width="17.33203125" customWidth="1"/>
    <col min="5127" max="5127" width="12.5" customWidth="1"/>
    <col min="5128" max="5128" width="17" customWidth="1"/>
    <col min="5129" max="5129" width="13.5" customWidth="1"/>
    <col min="5377" max="5377" width="13.5" customWidth="1"/>
    <col min="5378" max="5378" width="17" customWidth="1"/>
    <col min="5379" max="5379" width="13.83203125" customWidth="1"/>
    <col min="5381" max="5381" width="13" customWidth="1"/>
    <col min="5382" max="5382" width="17.33203125" customWidth="1"/>
    <col min="5383" max="5383" width="12.5" customWidth="1"/>
    <col min="5384" max="5384" width="17" customWidth="1"/>
    <col min="5385" max="5385" width="13.5" customWidth="1"/>
    <col min="5633" max="5633" width="13.5" customWidth="1"/>
    <col min="5634" max="5634" width="17" customWidth="1"/>
    <col min="5635" max="5635" width="13.83203125" customWidth="1"/>
    <col min="5637" max="5637" width="13" customWidth="1"/>
    <col min="5638" max="5638" width="17.33203125" customWidth="1"/>
    <col min="5639" max="5639" width="12.5" customWidth="1"/>
    <col min="5640" max="5640" width="17" customWidth="1"/>
    <col min="5641" max="5641" width="13.5" customWidth="1"/>
    <col min="5889" max="5889" width="13.5" customWidth="1"/>
    <col min="5890" max="5890" width="17" customWidth="1"/>
    <col min="5891" max="5891" width="13.83203125" customWidth="1"/>
    <col min="5893" max="5893" width="13" customWidth="1"/>
    <col min="5894" max="5894" width="17.33203125" customWidth="1"/>
    <col min="5895" max="5895" width="12.5" customWidth="1"/>
    <col min="5896" max="5896" width="17" customWidth="1"/>
    <col min="5897" max="5897" width="13.5" customWidth="1"/>
    <col min="6145" max="6145" width="13.5" customWidth="1"/>
    <col min="6146" max="6146" width="17" customWidth="1"/>
    <col min="6147" max="6147" width="13.83203125" customWidth="1"/>
    <col min="6149" max="6149" width="13" customWidth="1"/>
    <col min="6150" max="6150" width="17.33203125" customWidth="1"/>
    <col min="6151" max="6151" width="12.5" customWidth="1"/>
    <col min="6152" max="6152" width="17" customWidth="1"/>
    <col min="6153" max="6153" width="13.5" customWidth="1"/>
    <col min="6401" max="6401" width="13.5" customWidth="1"/>
    <col min="6402" max="6402" width="17" customWidth="1"/>
    <col min="6403" max="6403" width="13.83203125" customWidth="1"/>
    <col min="6405" max="6405" width="13" customWidth="1"/>
    <col min="6406" max="6406" width="17.33203125" customWidth="1"/>
    <col min="6407" max="6407" width="12.5" customWidth="1"/>
    <col min="6408" max="6408" width="17" customWidth="1"/>
    <col min="6409" max="6409" width="13.5" customWidth="1"/>
    <col min="6657" max="6657" width="13.5" customWidth="1"/>
    <col min="6658" max="6658" width="17" customWidth="1"/>
    <col min="6659" max="6659" width="13.83203125" customWidth="1"/>
    <col min="6661" max="6661" width="13" customWidth="1"/>
    <col min="6662" max="6662" width="17.33203125" customWidth="1"/>
    <col min="6663" max="6663" width="12.5" customWidth="1"/>
    <col min="6664" max="6664" width="17" customWidth="1"/>
    <col min="6665" max="6665" width="13.5" customWidth="1"/>
    <col min="6913" max="6913" width="13.5" customWidth="1"/>
    <col min="6914" max="6914" width="17" customWidth="1"/>
    <col min="6915" max="6915" width="13.83203125" customWidth="1"/>
    <col min="6917" max="6917" width="13" customWidth="1"/>
    <col min="6918" max="6918" width="17.33203125" customWidth="1"/>
    <col min="6919" max="6919" width="12.5" customWidth="1"/>
    <col min="6920" max="6920" width="17" customWidth="1"/>
    <col min="6921" max="6921" width="13.5" customWidth="1"/>
    <col min="7169" max="7169" width="13.5" customWidth="1"/>
    <col min="7170" max="7170" width="17" customWidth="1"/>
    <col min="7171" max="7171" width="13.83203125" customWidth="1"/>
    <col min="7173" max="7173" width="13" customWidth="1"/>
    <col min="7174" max="7174" width="17.33203125" customWidth="1"/>
    <col min="7175" max="7175" width="12.5" customWidth="1"/>
    <col min="7176" max="7176" width="17" customWidth="1"/>
    <col min="7177" max="7177" width="13.5" customWidth="1"/>
    <col min="7425" max="7425" width="13.5" customWidth="1"/>
    <col min="7426" max="7426" width="17" customWidth="1"/>
    <col min="7427" max="7427" width="13.83203125" customWidth="1"/>
    <col min="7429" max="7429" width="13" customWidth="1"/>
    <col min="7430" max="7430" width="17.33203125" customWidth="1"/>
    <col min="7431" max="7431" width="12.5" customWidth="1"/>
    <col min="7432" max="7432" width="17" customWidth="1"/>
    <col min="7433" max="7433" width="13.5" customWidth="1"/>
    <col min="7681" max="7681" width="13.5" customWidth="1"/>
    <col min="7682" max="7682" width="17" customWidth="1"/>
    <col min="7683" max="7683" width="13.83203125" customWidth="1"/>
    <col min="7685" max="7685" width="13" customWidth="1"/>
    <col min="7686" max="7686" width="17.33203125" customWidth="1"/>
    <col min="7687" max="7687" width="12.5" customWidth="1"/>
    <col min="7688" max="7688" width="17" customWidth="1"/>
    <col min="7689" max="7689" width="13.5" customWidth="1"/>
    <col min="7937" max="7937" width="13.5" customWidth="1"/>
    <col min="7938" max="7938" width="17" customWidth="1"/>
    <col min="7939" max="7939" width="13.83203125" customWidth="1"/>
    <col min="7941" max="7941" width="13" customWidth="1"/>
    <col min="7942" max="7942" width="17.33203125" customWidth="1"/>
    <col min="7943" max="7943" width="12.5" customWidth="1"/>
    <col min="7944" max="7944" width="17" customWidth="1"/>
    <col min="7945" max="7945" width="13.5" customWidth="1"/>
    <col min="8193" max="8193" width="13.5" customWidth="1"/>
    <col min="8194" max="8194" width="17" customWidth="1"/>
    <col min="8195" max="8195" width="13.83203125" customWidth="1"/>
    <col min="8197" max="8197" width="13" customWidth="1"/>
    <col min="8198" max="8198" width="17.33203125" customWidth="1"/>
    <col min="8199" max="8199" width="12.5" customWidth="1"/>
    <col min="8200" max="8200" width="17" customWidth="1"/>
    <col min="8201" max="8201" width="13.5" customWidth="1"/>
    <col min="8449" max="8449" width="13.5" customWidth="1"/>
    <col min="8450" max="8450" width="17" customWidth="1"/>
    <col min="8451" max="8451" width="13.83203125" customWidth="1"/>
    <col min="8453" max="8453" width="13" customWidth="1"/>
    <col min="8454" max="8454" width="17.33203125" customWidth="1"/>
    <col min="8455" max="8455" width="12.5" customWidth="1"/>
    <col min="8456" max="8456" width="17" customWidth="1"/>
    <col min="8457" max="8457" width="13.5" customWidth="1"/>
    <col min="8705" max="8705" width="13.5" customWidth="1"/>
    <col min="8706" max="8706" width="17" customWidth="1"/>
    <col min="8707" max="8707" width="13.83203125" customWidth="1"/>
    <col min="8709" max="8709" width="13" customWidth="1"/>
    <col min="8710" max="8710" width="17.33203125" customWidth="1"/>
    <col min="8711" max="8711" width="12.5" customWidth="1"/>
    <col min="8712" max="8712" width="17" customWidth="1"/>
    <col min="8713" max="8713" width="13.5" customWidth="1"/>
    <col min="8961" max="8961" width="13.5" customWidth="1"/>
    <col min="8962" max="8962" width="17" customWidth="1"/>
    <col min="8963" max="8963" width="13.83203125" customWidth="1"/>
    <col min="8965" max="8965" width="13" customWidth="1"/>
    <col min="8966" max="8966" width="17.33203125" customWidth="1"/>
    <col min="8967" max="8967" width="12.5" customWidth="1"/>
    <col min="8968" max="8968" width="17" customWidth="1"/>
    <col min="8969" max="8969" width="13.5" customWidth="1"/>
    <col min="9217" max="9217" width="13.5" customWidth="1"/>
    <col min="9218" max="9218" width="17" customWidth="1"/>
    <col min="9219" max="9219" width="13.83203125" customWidth="1"/>
    <col min="9221" max="9221" width="13" customWidth="1"/>
    <col min="9222" max="9222" width="17.33203125" customWidth="1"/>
    <col min="9223" max="9223" width="12.5" customWidth="1"/>
    <col min="9224" max="9224" width="17" customWidth="1"/>
    <col min="9225" max="9225" width="13.5" customWidth="1"/>
    <col min="9473" max="9473" width="13.5" customWidth="1"/>
    <col min="9474" max="9474" width="17" customWidth="1"/>
    <col min="9475" max="9475" width="13.83203125" customWidth="1"/>
    <col min="9477" max="9477" width="13" customWidth="1"/>
    <col min="9478" max="9478" width="17.33203125" customWidth="1"/>
    <col min="9479" max="9479" width="12.5" customWidth="1"/>
    <col min="9480" max="9480" width="17" customWidth="1"/>
    <col min="9481" max="9481" width="13.5" customWidth="1"/>
    <col min="9729" max="9729" width="13.5" customWidth="1"/>
    <col min="9730" max="9730" width="17" customWidth="1"/>
    <col min="9731" max="9731" width="13.83203125" customWidth="1"/>
    <col min="9733" max="9733" width="13" customWidth="1"/>
    <col min="9734" max="9734" width="17.33203125" customWidth="1"/>
    <col min="9735" max="9735" width="12.5" customWidth="1"/>
    <col min="9736" max="9736" width="17" customWidth="1"/>
    <col min="9737" max="9737" width="13.5" customWidth="1"/>
    <col min="9985" max="9985" width="13.5" customWidth="1"/>
    <col min="9986" max="9986" width="17" customWidth="1"/>
    <col min="9987" max="9987" width="13.83203125" customWidth="1"/>
    <col min="9989" max="9989" width="13" customWidth="1"/>
    <col min="9990" max="9990" width="17.33203125" customWidth="1"/>
    <col min="9991" max="9991" width="12.5" customWidth="1"/>
    <col min="9992" max="9992" width="17" customWidth="1"/>
    <col min="9993" max="9993" width="13.5" customWidth="1"/>
    <col min="10241" max="10241" width="13.5" customWidth="1"/>
    <col min="10242" max="10242" width="17" customWidth="1"/>
    <col min="10243" max="10243" width="13.83203125" customWidth="1"/>
    <col min="10245" max="10245" width="13" customWidth="1"/>
    <col min="10246" max="10246" width="17.33203125" customWidth="1"/>
    <col min="10247" max="10247" width="12.5" customWidth="1"/>
    <col min="10248" max="10248" width="17" customWidth="1"/>
    <col min="10249" max="10249" width="13.5" customWidth="1"/>
    <col min="10497" max="10497" width="13.5" customWidth="1"/>
    <col min="10498" max="10498" width="17" customWidth="1"/>
    <col min="10499" max="10499" width="13.83203125" customWidth="1"/>
    <col min="10501" max="10501" width="13" customWidth="1"/>
    <col min="10502" max="10502" width="17.33203125" customWidth="1"/>
    <col min="10503" max="10503" width="12.5" customWidth="1"/>
    <col min="10504" max="10504" width="17" customWidth="1"/>
    <col min="10505" max="10505" width="13.5" customWidth="1"/>
    <col min="10753" max="10753" width="13.5" customWidth="1"/>
    <col min="10754" max="10754" width="17" customWidth="1"/>
    <col min="10755" max="10755" width="13.83203125" customWidth="1"/>
    <col min="10757" max="10757" width="13" customWidth="1"/>
    <col min="10758" max="10758" width="17.33203125" customWidth="1"/>
    <col min="10759" max="10759" width="12.5" customWidth="1"/>
    <col min="10760" max="10760" width="17" customWidth="1"/>
    <col min="10761" max="10761" width="13.5" customWidth="1"/>
    <col min="11009" max="11009" width="13.5" customWidth="1"/>
    <col min="11010" max="11010" width="17" customWidth="1"/>
    <col min="11011" max="11011" width="13.83203125" customWidth="1"/>
    <col min="11013" max="11013" width="13" customWidth="1"/>
    <col min="11014" max="11014" width="17.33203125" customWidth="1"/>
    <col min="11015" max="11015" width="12.5" customWidth="1"/>
    <col min="11016" max="11016" width="17" customWidth="1"/>
    <col min="11017" max="11017" width="13.5" customWidth="1"/>
    <col min="11265" max="11265" width="13.5" customWidth="1"/>
    <col min="11266" max="11266" width="17" customWidth="1"/>
    <col min="11267" max="11267" width="13.83203125" customWidth="1"/>
    <col min="11269" max="11269" width="13" customWidth="1"/>
    <col min="11270" max="11270" width="17.33203125" customWidth="1"/>
    <col min="11271" max="11271" width="12.5" customWidth="1"/>
    <col min="11272" max="11272" width="17" customWidth="1"/>
    <col min="11273" max="11273" width="13.5" customWidth="1"/>
    <col min="11521" max="11521" width="13.5" customWidth="1"/>
    <col min="11522" max="11522" width="17" customWidth="1"/>
    <col min="11523" max="11523" width="13.83203125" customWidth="1"/>
    <col min="11525" max="11525" width="13" customWidth="1"/>
    <col min="11526" max="11526" width="17.33203125" customWidth="1"/>
    <col min="11527" max="11527" width="12.5" customWidth="1"/>
    <col min="11528" max="11528" width="17" customWidth="1"/>
    <col min="11529" max="11529" width="13.5" customWidth="1"/>
    <col min="11777" max="11777" width="13.5" customWidth="1"/>
    <col min="11778" max="11778" width="17" customWidth="1"/>
    <col min="11779" max="11779" width="13.83203125" customWidth="1"/>
    <col min="11781" max="11781" width="13" customWidth="1"/>
    <col min="11782" max="11782" width="17.33203125" customWidth="1"/>
    <col min="11783" max="11783" width="12.5" customWidth="1"/>
    <col min="11784" max="11784" width="17" customWidth="1"/>
    <col min="11785" max="11785" width="13.5" customWidth="1"/>
    <col min="12033" max="12033" width="13.5" customWidth="1"/>
    <col min="12034" max="12034" width="17" customWidth="1"/>
    <col min="12035" max="12035" width="13.83203125" customWidth="1"/>
    <col min="12037" max="12037" width="13" customWidth="1"/>
    <col min="12038" max="12038" width="17.33203125" customWidth="1"/>
    <col min="12039" max="12039" width="12.5" customWidth="1"/>
    <col min="12040" max="12040" width="17" customWidth="1"/>
    <col min="12041" max="12041" width="13.5" customWidth="1"/>
    <col min="12289" max="12289" width="13.5" customWidth="1"/>
    <col min="12290" max="12290" width="17" customWidth="1"/>
    <col min="12291" max="12291" width="13.83203125" customWidth="1"/>
    <col min="12293" max="12293" width="13" customWidth="1"/>
    <col min="12294" max="12294" width="17.33203125" customWidth="1"/>
    <col min="12295" max="12295" width="12.5" customWidth="1"/>
    <col min="12296" max="12296" width="17" customWidth="1"/>
    <col min="12297" max="12297" width="13.5" customWidth="1"/>
    <col min="12545" max="12545" width="13.5" customWidth="1"/>
    <col min="12546" max="12546" width="17" customWidth="1"/>
    <col min="12547" max="12547" width="13.83203125" customWidth="1"/>
    <col min="12549" max="12549" width="13" customWidth="1"/>
    <col min="12550" max="12550" width="17.33203125" customWidth="1"/>
    <col min="12551" max="12551" width="12.5" customWidth="1"/>
    <col min="12552" max="12552" width="17" customWidth="1"/>
    <col min="12553" max="12553" width="13.5" customWidth="1"/>
    <col min="12801" max="12801" width="13.5" customWidth="1"/>
    <col min="12802" max="12802" width="17" customWidth="1"/>
    <col min="12803" max="12803" width="13.83203125" customWidth="1"/>
    <col min="12805" max="12805" width="13" customWidth="1"/>
    <col min="12806" max="12806" width="17.33203125" customWidth="1"/>
    <col min="12807" max="12807" width="12.5" customWidth="1"/>
    <col min="12808" max="12808" width="17" customWidth="1"/>
    <col min="12809" max="12809" width="13.5" customWidth="1"/>
    <col min="13057" max="13057" width="13.5" customWidth="1"/>
    <col min="13058" max="13058" width="17" customWidth="1"/>
    <col min="13059" max="13059" width="13.83203125" customWidth="1"/>
    <col min="13061" max="13061" width="13" customWidth="1"/>
    <col min="13062" max="13062" width="17.33203125" customWidth="1"/>
    <col min="13063" max="13063" width="12.5" customWidth="1"/>
    <col min="13064" max="13064" width="17" customWidth="1"/>
    <col min="13065" max="13065" width="13.5" customWidth="1"/>
    <col min="13313" max="13313" width="13.5" customWidth="1"/>
    <col min="13314" max="13314" width="17" customWidth="1"/>
    <col min="13315" max="13315" width="13.83203125" customWidth="1"/>
    <col min="13317" max="13317" width="13" customWidth="1"/>
    <col min="13318" max="13318" width="17.33203125" customWidth="1"/>
    <col min="13319" max="13319" width="12.5" customWidth="1"/>
    <col min="13320" max="13320" width="17" customWidth="1"/>
    <col min="13321" max="13321" width="13.5" customWidth="1"/>
    <col min="13569" max="13569" width="13.5" customWidth="1"/>
    <col min="13570" max="13570" width="17" customWidth="1"/>
    <col min="13571" max="13571" width="13.83203125" customWidth="1"/>
    <col min="13573" max="13573" width="13" customWidth="1"/>
    <col min="13574" max="13574" width="17.33203125" customWidth="1"/>
    <col min="13575" max="13575" width="12.5" customWidth="1"/>
    <col min="13576" max="13576" width="17" customWidth="1"/>
    <col min="13577" max="13577" width="13.5" customWidth="1"/>
    <col min="13825" max="13825" width="13.5" customWidth="1"/>
    <col min="13826" max="13826" width="17" customWidth="1"/>
    <col min="13827" max="13827" width="13.83203125" customWidth="1"/>
    <col min="13829" max="13829" width="13" customWidth="1"/>
    <col min="13830" max="13830" width="17.33203125" customWidth="1"/>
    <col min="13831" max="13831" width="12.5" customWidth="1"/>
    <col min="13832" max="13832" width="17" customWidth="1"/>
    <col min="13833" max="13833" width="13.5" customWidth="1"/>
    <col min="14081" max="14081" width="13.5" customWidth="1"/>
    <col min="14082" max="14082" width="17" customWidth="1"/>
    <col min="14083" max="14083" width="13.83203125" customWidth="1"/>
    <col min="14085" max="14085" width="13" customWidth="1"/>
    <col min="14086" max="14086" width="17.33203125" customWidth="1"/>
    <col min="14087" max="14087" width="12.5" customWidth="1"/>
    <col min="14088" max="14088" width="17" customWidth="1"/>
    <col min="14089" max="14089" width="13.5" customWidth="1"/>
    <col min="14337" max="14337" width="13.5" customWidth="1"/>
    <col min="14338" max="14338" width="17" customWidth="1"/>
    <col min="14339" max="14339" width="13.83203125" customWidth="1"/>
    <col min="14341" max="14341" width="13" customWidth="1"/>
    <col min="14342" max="14342" width="17.33203125" customWidth="1"/>
    <col min="14343" max="14343" width="12.5" customWidth="1"/>
    <col min="14344" max="14344" width="17" customWidth="1"/>
    <col min="14345" max="14345" width="13.5" customWidth="1"/>
    <col min="14593" max="14593" width="13.5" customWidth="1"/>
    <col min="14594" max="14594" width="17" customWidth="1"/>
    <col min="14595" max="14595" width="13.83203125" customWidth="1"/>
    <col min="14597" max="14597" width="13" customWidth="1"/>
    <col min="14598" max="14598" width="17.33203125" customWidth="1"/>
    <col min="14599" max="14599" width="12.5" customWidth="1"/>
    <col min="14600" max="14600" width="17" customWidth="1"/>
    <col min="14601" max="14601" width="13.5" customWidth="1"/>
    <col min="14849" max="14849" width="13.5" customWidth="1"/>
    <col min="14850" max="14850" width="17" customWidth="1"/>
    <col min="14851" max="14851" width="13.83203125" customWidth="1"/>
    <col min="14853" max="14853" width="13" customWidth="1"/>
    <col min="14854" max="14854" width="17.33203125" customWidth="1"/>
    <col min="14855" max="14855" width="12.5" customWidth="1"/>
    <col min="14856" max="14856" width="17" customWidth="1"/>
    <col min="14857" max="14857" width="13.5" customWidth="1"/>
    <col min="15105" max="15105" width="13.5" customWidth="1"/>
    <col min="15106" max="15106" width="17" customWidth="1"/>
    <col min="15107" max="15107" width="13.83203125" customWidth="1"/>
    <col min="15109" max="15109" width="13" customWidth="1"/>
    <col min="15110" max="15110" width="17.33203125" customWidth="1"/>
    <col min="15111" max="15111" width="12.5" customWidth="1"/>
    <col min="15112" max="15112" width="17" customWidth="1"/>
    <col min="15113" max="15113" width="13.5" customWidth="1"/>
    <col min="15361" max="15361" width="13.5" customWidth="1"/>
    <col min="15362" max="15362" width="17" customWidth="1"/>
    <col min="15363" max="15363" width="13.83203125" customWidth="1"/>
    <col min="15365" max="15365" width="13" customWidth="1"/>
    <col min="15366" max="15366" width="17.33203125" customWidth="1"/>
    <col min="15367" max="15367" width="12.5" customWidth="1"/>
    <col min="15368" max="15368" width="17" customWidth="1"/>
    <col min="15369" max="15369" width="13.5" customWidth="1"/>
    <col min="15617" max="15617" width="13.5" customWidth="1"/>
    <col min="15618" max="15618" width="17" customWidth="1"/>
    <col min="15619" max="15619" width="13.83203125" customWidth="1"/>
    <col min="15621" max="15621" width="13" customWidth="1"/>
    <col min="15622" max="15622" width="17.33203125" customWidth="1"/>
    <col min="15623" max="15623" width="12.5" customWidth="1"/>
    <col min="15624" max="15624" width="17" customWidth="1"/>
    <col min="15625" max="15625" width="13.5" customWidth="1"/>
    <col min="15873" max="15873" width="13.5" customWidth="1"/>
    <col min="15874" max="15874" width="17" customWidth="1"/>
    <col min="15875" max="15875" width="13.83203125" customWidth="1"/>
    <col min="15877" max="15877" width="13" customWidth="1"/>
    <col min="15878" max="15878" width="17.33203125" customWidth="1"/>
    <col min="15879" max="15879" width="12.5" customWidth="1"/>
    <col min="15880" max="15880" width="17" customWidth="1"/>
    <col min="15881" max="15881" width="13.5" customWidth="1"/>
    <col min="16129" max="16129" width="13.5" customWidth="1"/>
    <col min="16130" max="16130" width="17" customWidth="1"/>
    <col min="16131" max="16131" width="13.83203125" customWidth="1"/>
    <col min="16133" max="16133" width="13" customWidth="1"/>
    <col min="16134" max="16134" width="17.33203125" customWidth="1"/>
    <col min="16135" max="16135" width="12.5" customWidth="1"/>
    <col min="16136" max="16136" width="17" customWidth="1"/>
    <col min="16137" max="16137" width="13.5" customWidth="1"/>
  </cols>
  <sheetData>
    <row r="1" spans="1:10" x14ac:dyDescent="0.2">
      <c r="A1" s="30" t="s">
        <v>88</v>
      </c>
      <c r="B1" s="30"/>
      <c r="C1" s="30"/>
      <c r="D1" s="30"/>
      <c r="E1" s="30"/>
      <c r="F1" s="30"/>
      <c r="G1" s="30"/>
      <c r="H1" s="30"/>
    </row>
    <row r="2" spans="1:10" x14ac:dyDescent="0.2">
      <c r="A2" s="29" t="s">
        <v>128</v>
      </c>
      <c r="B2" s="29"/>
      <c r="C2" s="29"/>
      <c r="D2" s="29"/>
      <c r="E2" s="29"/>
      <c r="F2" s="29"/>
      <c r="G2" s="29"/>
      <c r="H2" s="29"/>
    </row>
    <row r="3" spans="1:10" ht="60" customHeight="1" x14ac:dyDescent="0.2">
      <c r="B3" s="5" t="s">
        <v>87</v>
      </c>
      <c r="C3" s="4" t="s">
        <v>86</v>
      </c>
      <c r="F3" s="5" t="s">
        <v>87</v>
      </c>
      <c r="G3" s="4" t="s">
        <v>86</v>
      </c>
      <c r="I3" s="31" t="s">
        <v>114</v>
      </c>
      <c r="J3" s="31"/>
    </row>
    <row r="4" spans="1:10" x14ac:dyDescent="0.2">
      <c r="A4" t="s">
        <v>85</v>
      </c>
      <c r="B4" s="2">
        <v>5.53</v>
      </c>
      <c r="C4" s="1">
        <v>1</v>
      </c>
      <c r="E4" t="s">
        <v>84</v>
      </c>
      <c r="F4" s="2">
        <f>(4.42+4.88+3.2+5.92)/4</f>
        <v>4.6050000000000004</v>
      </c>
      <c r="G4" s="1">
        <v>4</v>
      </c>
      <c r="I4" s="1" t="s">
        <v>83</v>
      </c>
      <c r="J4" s="2">
        <v>3.82</v>
      </c>
    </row>
    <row r="5" spans="1:10" x14ac:dyDescent="0.2">
      <c r="A5" t="s">
        <v>82</v>
      </c>
      <c r="B5" s="10">
        <f>(10.01+9.91+7.89+7.45+9.4+9.33+4.36+8.41+8.25+8.94+9.23+5.77+11.05+7.67+9.76+7.67+8.75+8.54+5.64+3.62+8.41+10.53+7.58+7.36+6.6+7.6+8.01+9.6+7.47+8.66+8.21+8.45+11.31+7.56+5.93+0)/36</f>
        <v>7.9147222222222222</v>
      </c>
      <c r="C5" s="11">
        <v>36</v>
      </c>
      <c r="E5" t="s">
        <v>81</v>
      </c>
      <c r="F5" s="10">
        <f>(0.76+4.7+5.86+5.95+4.7+3.25)/6</f>
        <v>4.2033333333333331</v>
      </c>
      <c r="G5" s="11">
        <v>6</v>
      </c>
      <c r="I5" s="1" t="s">
        <v>94</v>
      </c>
      <c r="J5" s="2">
        <v>3.92</v>
      </c>
    </row>
    <row r="6" spans="1:10" x14ac:dyDescent="0.2">
      <c r="A6" t="s">
        <v>79</v>
      </c>
      <c r="B6" s="10">
        <v>5.05</v>
      </c>
      <c r="C6" s="11">
        <v>1</v>
      </c>
      <c r="E6" t="s">
        <v>78</v>
      </c>
      <c r="F6" s="10">
        <f>(3.49+1.76+3.48+4.08+3.37+2.98+3.58+3.14+2.83+2.84+3+2.46+1.7+4.07+2.89+3.19+1.96+1.41+3.9)/19</f>
        <v>2.9542105263157894</v>
      </c>
      <c r="G6" s="11">
        <v>19</v>
      </c>
      <c r="I6" s="1" t="s">
        <v>80</v>
      </c>
      <c r="J6" s="2">
        <v>4.33</v>
      </c>
    </row>
    <row r="7" spans="1:10" x14ac:dyDescent="0.2">
      <c r="A7" t="s">
        <v>76</v>
      </c>
      <c r="B7" s="2">
        <v>5.5</v>
      </c>
      <c r="C7" s="1">
        <v>1</v>
      </c>
      <c r="E7" t="s">
        <v>75</v>
      </c>
      <c r="F7" s="6">
        <v>7.49</v>
      </c>
      <c r="G7" s="8">
        <v>1</v>
      </c>
      <c r="I7" s="1" t="s">
        <v>77</v>
      </c>
      <c r="J7" s="2">
        <v>4.5999999999999996</v>
      </c>
    </row>
    <row r="8" spans="1:10" x14ac:dyDescent="0.2">
      <c r="A8" t="s">
        <v>73</v>
      </c>
      <c r="B8" s="2">
        <f>(3.83+4.87+2.7+0)/4</f>
        <v>2.8499999999999996</v>
      </c>
      <c r="C8" s="1">
        <v>4</v>
      </c>
      <c r="E8" t="s">
        <v>72</v>
      </c>
      <c r="F8" s="2">
        <f>(5.44+3.2+4.02+4.1+4.61+0.02+3.48+0.5+0.89)/9</f>
        <v>2.9177777777777774</v>
      </c>
      <c r="G8" s="1">
        <v>9</v>
      </c>
      <c r="I8" s="1" t="s">
        <v>95</v>
      </c>
      <c r="J8" s="2">
        <v>3.89</v>
      </c>
    </row>
    <row r="9" spans="1:10" x14ac:dyDescent="0.2">
      <c r="A9" t="s">
        <v>71</v>
      </c>
      <c r="B9" s="12" t="s">
        <v>117</v>
      </c>
      <c r="C9" s="11">
        <v>0</v>
      </c>
      <c r="E9" t="s">
        <v>70</v>
      </c>
      <c r="F9" s="10">
        <f>(5.45+4.11+6.99+4.94)/4</f>
        <v>5.3725000000000005</v>
      </c>
      <c r="G9" s="11">
        <v>4</v>
      </c>
      <c r="I9" s="1" t="s">
        <v>96</v>
      </c>
      <c r="J9" s="2">
        <v>4</v>
      </c>
    </row>
    <row r="10" spans="1:10" x14ac:dyDescent="0.2">
      <c r="A10" t="s">
        <v>69</v>
      </c>
      <c r="B10" s="12">
        <v>4.76</v>
      </c>
      <c r="C10" s="11">
        <v>1</v>
      </c>
      <c r="E10" t="s">
        <v>68</v>
      </c>
      <c r="F10" s="10">
        <f>(5.52+3.8+3.26+1.51+3.23)/5</f>
        <v>3.464</v>
      </c>
      <c r="G10" s="11">
        <v>5</v>
      </c>
      <c r="I10" s="1" t="s">
        <v>97</v>
      </c>
      <c r="J10" s="2">
        <v>5.16</v>
      </c>
    </row>
    <row r="11" spans="1:10" x14ac:dyDescent="0.2">
      <c r="A11" t="s">
        <v>66</v>
      </c>
      <c r="B11" s="2">
        <f>(8.89+4.16)/2</f>
        <v>6.5250000000000004</v>
      </c>
      <c r="C11" s="1">
        <v>2</v>
      </c>
      <c r="E11" t="s">
        <v>65</v>
      </c>
      <c r="F11" s="2">
        <f>(3.9+5.46+4.64+3.74+3.8+0.17+3.63+3.94+3.71+3.7)/10</f>
        <v>3.6690000000000005</v>
      </c>
      <c r="G11" s="1">
        <v>10</v>
      </c>
      <c r="I11" s="1" t="s">
        <v>74</v>
      </c>
      <c r="J11" s="2">
        <v>5.81</v>
      </c>
    </row>
    <row r="12" spans="1:10" x14ac:dyDescent="0.2">
      <c r="A12" t="s">
        <v>63</v>
      </c>
      <c r="B12" s="9" t="s">
        <v>117</v>
      </c>
      <c r="C12" s="1">
        <v>0</v>
      </c>
      <c r="E12" t="s">
        <v>62</v>
      </c>
      <c r="F12" s="9" t="s">
        <v>117</v>
      </c>
      <c r="G12" s="1">
        <v>0</v>
      </c>
      <c r="I12" s="1" t="s">
        <v>98</v>
      </c>
      <c r="J12" s="2">
        <v>5.04</v>
      </c>
    </row>
    <row r="13" spans="1:10" x14ac:dyDescent="0.2">
      <c r="A13" t="s">
        <v>61</v>
      </c>
      <c r="B13" s="12" t="s">
        <v>117</v>
      </c>
      <c r="C13" s="11">
        <v>0</v>
      </c>
      <c r="E13" t="s">
        <v>60</v>
      </c>
      <c r="F13" s="12" t="s">
        <v>117</v>
      </c>
      <c r="G13" s="11">
        <v>0</v>
      </c>
      <c r="I13" s="1" t="s">
        <v>99</v>
      </c>
      <c r="J13" s="2">
        <v>2.62</v>
      </c>
    </row>
    <row r="14" spans="1:10" x14ac:dyDescent="0.2">
      <c r="A14" t="s">
        <v>59</v>
      </c>
      <c r="B14" s="10">
        <v>3.95</v>
      </c>
      <c r="C14" s="11">
        <v>1</v>
      </c>
      <c r="E14" t="s">
        <v>58</v>
      </c>
      <c r="F14" s="10">
        <f>(4.04+5.81+4.55+4.83+7.33+3.34+4.82+3.95+4.78+3.85+4.24+4.36+4.33+4.95+8.01+5.09+5+4.1+5.53+4.29+5.43+4.86)/22</f>
        <v>4.8859090909090916</v>
      </c>
      <c r="G14" s="11">
        <v>22</v>
      </c>
      <c r="I14" s="1" t="s">
        <v>100</v>
      </c>
      <c r="J14" s="2">
        <v>4.2300000000000004</v>
      </c>
    </row>
    <row r="15" spans="1:10" x14ac:dyDescent="0.2">
      <c r="A15" t="s">
        <v>57</v>
      </c>
      <c r="B15" s="2">
        <v>4.57</v>
      </c>
      <c r="C15" s="1">
        <v>1</v>
      </c>
      <c r="E15" t="s">
        <v>56</v>
      </c>
      <c r="F15" s="9" t="s">
        <v>117</v>
      </c>
      <c r="G15" s="1">
        <v>0</v>
      </c>
      <c r="I15" s="1" t="s">
        <v>101</v>
      </c>
      <c r="J15" s="2">
        <v>5.79</v>
      </c>
    </row>
    <row r="16" spans="1:10" x14ac:dyDescent="0.2">
      <c r="A16" t="s">
        <v>54</v>
      </c>
      <c r="B16" s="2">
        <f>(1.98+8.73+6.64)/3</f>
        <v>5.7833333333333341</v>
      </c>
      <c r="C16" s="1">
        <v>3</v>
      </c>
      <c r="E16" t="s">
        <v>53</v>
      </c>
      <c r="F16" s="2">
        <v>6.68</v>
      </c>
      <c r="G16" s="1">
        <v>1</v>
      </c>
      <c r="I16" s="1" t="s">
        <v>102</v>
      </c>
      <c r="J16" s="2">
        <v>3.97</v>
      </c>
    </row>
    <row r="17" spans="1:10" x14ac:dyDescent="0.2">
      <c r="A17" t="s">
        <v>52</v>
      </c>
      <c r="B17" s="12">
        <v>6.02</v>
      </c>
      <c r="C17" s="11">
        <v>1</v>
      </c>
      <c r="E17" t="s">
        <v>51</v>
      </c>
      <c r="F17" s="10">
        <f>(4.73+3.73+4.29+3.81+3.86+3.38+4.54+4.05+3.19+5.4+3.93)/11</f>
        <v>4.0827272727272721</v>
      </c>
      <c r="G17" s="11">
        <v>11</v>
      </c>
      <c r="I17" s="1" t="s">
        <v>103</v>
      </c>
      <c r="J17" s="2">
        <v>3.6</v>
      </c>
    </row>
    <row r="18" spans="1:10" x14ac:dyDescent="0.2">
      <c r="A18" t="s">
        <v>49</v>
      </c>
      <c r="B18" s="12" t="s">
        <v>117</v>
      </c>
      <c r="C18" s="11">
        <v>0</v>
      </c>
      <c r="E18" t="s">
        <v>48</v>
      </c>
      <c r="F18" s="10">
        <f>(6.65+9.39+9.64+12.1+7.2+7.29+1.61+6.81+6.15+9.57+10.08+8.18+10.01+6.39+8.94+4.37+6.61+7.36+13.28+9.01+8.07+7)/24</f>
        <v>7.32125</v>
      </c>
      <c r="G18" s="11">
        <v>24</v>
      </c>
      <c r="I18" s="1" t="s">
        <v>67</v>
      </c>
      <c r="J18" s="2">
        <v>4.41</v>
      </c>
    </row>
    <row r="19" spans="1:10" x14ac:dyDescent="0.2">
      <c r="A19" t="s">
        <v>46</v>
      </c>
      <c r="B19" s="9" t="s">
        <v>117</v>
      </c>
      <c r="C19" s="1">
        <v>0</v>
      </c>
      <c r="E19" t="s">
        <v>45</v>
      </c>
      <c r="F19" s="2">
        <f>(10.44+7.9+7.52)/3</f>
        <v>8.6199999999999992</v>
      </c>
      <c r="G19" s="1">
        <v>3</v>
      </c>
      <c r="I19" s="1" t="s">
        <v>64</v>
      </c>
      <c r="J19" s="2">
        <v>4.42</v>
      </c>
    </row>
    <row r="20" spans="1:10" x14ac:dyDescent="0.2">
      <c r="A20" t="s">
        <v>43</v>
      </c>
      <c r="B20" s="2">
        <f>(3.92+3.43+2.79+3.67+4.77+2.29+3.09)/7</f>
        <v>3.4228571428571426</v>
      </c>
      <c r="C20" s="1">
        <v>7</v>
      </c>
      <c r="E20" t="s">
        <v>42</v>
      </c>
      <c r="F20" s="2">
        <f>(5.15+5.77+4.84+5.02)/4</f>
        <v>5.1950000000000003</v>
      </c>
      <c r="G20" s="1">
        <v>4</v>
      </c>
      <c r="I20" s="1" t="s">
        <v>104</v>
      </c>
      <c r="J20" s="2">
        <v>3.26</v>
      </c>
    </row>
    <row r="21" spans="1:10" x14ac:dyDescent="0.2">
      <c r="A21" t="s">
        <v>40</v>
      </c>
      <c r="B21" s="12" t="s">
        <v>117</v>
      </c>
      <c r="C21" s="11">
        <v>0</v>
      </c>
      <c r="E21" t="s">
        <v>39</v>
      </c>
      <c r="F21" s="10">
        <f>(2.62+4.74+6.96+4.47+2.94+3.74+0.75)/7</f>
        <v>3.7457142857142856</v>
      </c>
      <c r="G21" s="11">
        <v>7</v>
      </c>
      <c r="I21" s="1" t="s">
        <v>105</v>
      </c>
      <c r="J21" s="2">
        <v>4.5199999999999996</v>
      </c>
    </row>
    <row r="22" spans="1:10" x14ac:dyDescent="0.2">
      <c r="A22" t="s">
        <v>37</v>
      </c>
      <c r="B22" s="12" t="s">
        <v>117</v>
      </c>
      <c r="C22" s="11">
        <v>0</v>
      </c>
      <c r="E22" t="s">
        <v>36</v>
      </c>
      <c r="F22" s="12" t="s">
        <v>117</v>
      </c>
      <c r="G22" s="11">
        <v>0</v>
      </c>
      <c r="I22" s="1" t="s">
        <v>10</v>
      </c>
      <c r="J22" s="2">
        <v>4.53</v>
      </c>
    </row>
    <row r="23" spans="1:10" x14ac:dyDescent="0.2">
      <c r="A23" t="s">
        <v>35</v>
      </c>
      <c r="B23" s="9">
        <v>8.93</v>
      </c>
      <c r="C23" s="1">
        <v>1</v>
      </c>
      <c r="E23" t="s">
        <v>34</v>
      </c>
      <c r="F23" s="9" t="s">
        <v>117</v>
      </c>
      <c r="G23" s="1">
        <v>0</v>
      </c>
      <c r="I23" s="1" t="s">
        <v>115</v>
      </c>
      <c r="J23" s="2">
        <v>3.68</v>
      </c>
    </row>
    <row r="24" spans="1:10" x14ac:dyDescent="0.2">
      <c r="A24" t="s">
        <v>32</v>
      </c>
      <c r="B24" s="9" t="s">
        <v>117</v>
      </c>
      <c r="C24" s="1">
        <v>0</v>
      </c>
      <c r="E24" t="s">
        <v>31</v>
      </c>
      <c r="F24" s="9" t="s">
        <v>117</v>
      </c>
      <c r="G24" s="1">
        <v>0</v>
      </c>
      <c r="I24" s="1" t="s">
        <v>106</v>
      </c>
      <c r="J24" s="2">
        <v>3.94</v>
      </c>
    </row>
    <row r="25" spans="1:10" x14ac:dyDescent="0.2">
      <c r="A25" t="s">
        <v>29</v>
      </c>
      <c r="B25" s="10">
        <f>(3.34+2.7+4.03)/3</f>
        <v>3.3566666666666669</v>
      </c>
      <c r="C25" s="11">
        <v>3</v>
      </c>
      <c r="E25" t="s">
        <v>28</v>
      </c>
      <c r="F25" s="10">
        <v>3.17</v>
      </c>
      <c r="G25" s="11">
        <v>1</v>
      </c>
      <c r="I25" s="1" t="s">
        <v>55</v>
      </c>
      <c r="J25" s="2">
        <v>6.22</v>
      </c>
    </row>
    <row r="26" spans="1:10" x14ac:dyDescent="0.2">
      <c r="A26" t="s">
        <v>26</v>
      </c>
      <c r="B26" s="12" t="s">
        <v>117</v>
      </c>
      <c r="C26" s="11">
        <v>0</v>
      </c>
      <c r="E26" t="s">
        <v>25</v>
      </c>
      <c r="F26" s="10">
        <f>(4.45+5.6+0)/3</f>
        <v>3.35</v>
      </c>
      <c r="G26" s="11">
        <v>3</v>
      </c>
      <c r="I26" s="1" t="s">
        <v>116</v>
      </c>
      <c r="J26" s="2">
        <v>6.3</v>
      </c>
    </row>
    <row r="27" spans="1:10" x14ac:dyDescent="0.2">
      <c r="A27" t="s">
        <v>23</v>
      </c>
      <c r="B27" s="2">
        <v>7.98</v>
      </c>
      <c r="C27" s="1">
        <v>1</v>
      </c>
      <c r="E27" t="s">
        <v>22</v>
      </c>
      <c r="F27" s="2">
        <f>(4.74+2.87+4.4+4.44+3.66+3.6)/6</f>
        <v>3.9516666666666675</v>
      </c>
      <c r="G27" s="1">
        <v>6</v>
      </c>
      <c r="I27" s="1" t="s">
        <v>107</v>
      </c>
      <c r="J27" s="2">
        <v>4.95</v>
      </c>
    </row>
    <row r="28" spans="1:10" x14ac:dyDescent="0.2">
      <c r="A28" t="s">
        <v>20</v>
      </c>
      <c r="B28" s="2">
        <f>(4.79+5+4.47+4.72+4.26+5.31+2.82)/7</f>
        <v>4.4814285714285704</v>
      </c>
      <c r="C28" s="1">
        <v>7</v>
      </c>
      <c r="E28" t="s">
        <v>19</v>
      </c>
      <c r="F28" s="6">
        <f>(4.67+4.01+5.33+5.53+3.43+5.61+2.97+3.77+4.95+5.25+3.96+4.72+4.66+3.73+3.26+4.83)/16</f>
        <v>4.4174999999999995</v>
      </c>
      <c r="G28" s="1">
        <v>16</v>
      </c>
      <c r="I28" s="1" t="s">
        <v>50</v>
      </c>
      <c r="J28" s="2">
        <v>3.63</v>
      </c>
    </row>
    <row r="29" spans="1:10" x14ac:dyDescent="0.2">
      <c r="A29" t="s">
        <v>17</v>
      </c>
      <c r="B29" s="10">
        <f>(4.8+5.52+4.79+4.71)/4</f>
        <v>4.9550000000000001</v>
      </c>
      <c r="C29" s="11">
        <v>4</v>
      </c>
      <c r="E29" t="s">
        <v>16</v>
      </c>
      <c r="F29" s="12" t="s">
        <v>117</v>
      </c>
      <c r="G29" s="11">
        <v>0</v>
      </c>
      <c r="I29" s="1" t="s">
        <v>47</v>
      </c>
      <c r="J29" s="2">
        <v>5.35</v>
      </c>
    </row>
    <row r="30" spans="1:10" x14ac:dyDescent="0.2">
      <c r="A30" t="s">
        <v>14</v>
      </c>
      <c r="B30" s="10">
        <f>(8.87+4.01)/2</f>
        <v>6.4399999999999995</v>
      </c>
      <c r="C30" s="11">
        <v>2</v>
      </c>
      <c r="E30" t="s">
        <v>13</v>
      </c>
      <c r="F30" s="10">
        <f>(6.1+6.54+7.33)/3</f>
        <v>6.6566666666666663</v>
      </c>
      <c r="G30" s="11">
        <v>3</v>
      </c>
      <c r="I30" s="1" t="s">
        <v>44</v>
      </c>
      <c r="J30" s="2">
        <v>4.2699999999999996</v>
      </c>
    </row>
    <row r="31" spans="1:10" x14ac:dyDescent="0.2">
      <c r="A31" t="s">
        <v>12</v>
      </c>
      <c r="B31" s="9">
        <f>(6.27+5+5.21)/3</f>
        <v>5.4933333333333332</v>
      </c>
      <c r="C31" s="1">
        <v>3</v>
      </c>
      <c r="E31" t="s">
        <v>11</v>
      </c>
      <c r="F31" s="2">
        <v>2.9</v>
      </c>
      <c r="G31" s="1">
        <v>1</v>
      </c>
      <c r="I31" s="1" t="s">
        <v>41</v>
      </c>
      <c r="J31" s="2">
        <v>4.92</v>
      </c>
    </row>
    <row r="32" spans="1:10" x14ac:dyDescent="0.2">
      <c r="A32" t="s">
        <v>10</v>
      </c>
      <c r="B32" s="2">
        <v>4.6900000000000004</v>
      </c>
      <c r="C32" s="1">
        <v>1</v>
      </c>
      <c r="E32" t="s">
        <v>9</v>
      </c>
      <c r="F32" s="2">
        <f>(5.89+4.62+5.46+4.19+7.91)/5</f>
        <v>5.6139999999999999</v>
      </c>
      <c r="G32" s="1">
        <v>5</v>
      </c>
      <c r="I32" s="1" t="s">
        <v>38</v>
      </c>
      <c r="J32" s="2">
        <v>5.37</v>
      </c>
    </row>
    <row r="33" spans="1:10" x14ac:dyDescent="0.2">
      <c r="A33" t="s">
        <v>8</v>
      </c>
      <c r="B33" s="12" t="s">
        <v>117</v>
      </c>
      <c r="C33" s="11">
        <v>0</v>
      </c>
      <c r="E33" t="s">
        <v>7</v>
      </c>
      <c r="F33" s="12">
        <f>(5.98+2.27)/2</f>
        <v>4.125</v>
      </c>
      <c r="G33" s="11">
        <v>2</v>
      </c>
      <c r="I33" s="1" t="s">
        <v>108</v>
      </c>
      <c r="J33" s="2">
        <v>4.04</v>
      </c>
    </row>
    <row r="34" spans="1:10" x14ac:dyDescent="0.2">
      <c r="A34" t="s">
        <v>6</v>
      </c>
      <c r="B34" s="12" t="s">
        <v>117</v>
      </c>
      <c r="C34" s="11">
        <v>0</v>
      </c>
      <c r="E34" t="s">
        <v>5</v>
      </c>
      <c r="F34" s="10">
        <v>8.7899999999999991</v>
      </c>
      <c r="G34" s="11">
        <v>1</v>
      </c>
      <c r="I34" s="1" t="s">
        <v>109</v>
      </c>
      <c r="J34" s="2">
        <v>5.65</v>
      </c>
    </row>
    <row r="35" spans="1:10" x14ac:dyDescent="0.2">
      <c r="A35" t="s">
        <v>4</v>
      </c>
      <c r="B35" s="9" t="s">
        <v>117</v>
      </c>
      <c r="C35" s="1">
        <v>0</v>
      </c>
      <c r="E35" t="s">
        <v>3</v>
      </c>
      <c r="F35" s="2">
        <f>(5.52+10.4)/2</f>
        <v>7.96</v>
      </c>
      <c r="G35" s="1">
        <v>2</v>
      </c>
      <c r="I35" s="1" t="s">
        <v>110</v>
      </c>
      <c r="J35" s="2">
        <v>4.7300000000000004</v>
      </c>
    </row>
    <row r="36" spans="1:10" x14ac:dyDescent="0.2">
      <c r="A36" t="s">
        <v>2</v>
      </c>
      <c r="B36" s="9" t="s">
        <v>117</v>
      </c>
      <c r="C36" s="1">
        <v>0</v>
      </c>
      <c r="E36" t="s">
        <v>1</v>
      </c>
      <c r="F36" s="2">
        <f>(5.83+4.15)/2</f>
        <v>4.99</v>
      </c>
      <c r="G36" s="1">
        <v>2</v>
      </c>
      <c r="I36" s="1" t="s">
        <v>111</v>
      </c>
      <c r="J36" s="2">
        <v>3.67</v>
      </c>
    </row>
    <row r="37" spans="1:10" x14ac:dyDescent="0.2">
      <c r="A37" t="s">
        <v>0</v>
      </c>
      <c r="B37" s="12" t="s">
        <v>117</v>
      </c>
      <c r="C37" s="11">
        <v>0</v>
      </c>
      <c r="I37" s="1" t="s">
        <v>33</v>
      </c>
      <c r="J37" s="2">
        <v>3.95</v>
      </c>
    </row>
    <row r="38" spans="1:10" x14ac:dyDescent="0.2">
      <c r="I38" s="1" t="s">
        <v>30</v>
      </c>
      <c r="J38" s="2">
        <v>3.46</v>
      </c>
    </row>
    <row r="39" spans="1:10" x14ac:dyDescent="0.2">
      <c r="I39" s="1" t="s">
        <v>27</v>
      </c>
      <c r="J39" s="2">
        <v>4.1900000000000004</v>
      </c>
    </row>
    <row r="40" spans="1:10" x14ac:dyDescent="0.2">
      <c r="I40" s="1" t="s">
        <v>24</v>
      </c>
      <c r="J40" s="2">
        <v>4.26</v>
      </c>
    </row>
    <row r="41" spans="1:10" x14ac:dyDescent="0.2">
      <c r="I41" s="1" t="s">
        <v>21</v>
      </c>
      <c r="J41" s="2">
        <v>4.08</v>
      </c>
    </row>
    <row r="42" spans="1:10" x14ac:dyDescent="0.2">
      <c r="I42" s="1" t="s">
        <v>113</v>
      </c>
      <c r="J42" s="2">
        <v>4.13</v>
      </c>
    </row>
    <row r="43" spans="1:10" x14ac:dyDescent="0.2">
      <c r="I43" s="1" t="s">
        <v>18</v>
      </c>
      <c r="J43" s="2">
        <v>5.58</v>
      </c>
    </row>
    <row r="44" spans="1:10" x14ac:dyDescent="0.2">
      <c r="I44" s="1" t="s">
        <v>112</v>
      </c>
      <c r="J44" s="2">
        <v>4.26</v>
      </c>
    </row>
    <row r="45" spans="1:10" x14ac:dyDescent="0.2">
      <c r="I45" s="1" t="s">
        <v>15</v>
      </c>
      <c r="J45" s="2">
        <v>3.37</v>
      </c>
    </row>
  </sheetData>
  <mergeCells count="3">
    <mergeCell ref="A1:H1"/>
    <mergeCell ref="A2:H2"/>
    <mergeCell ref="I3:J3"/>
  </mergeCells>
  <pageMargins left="0.7" right="0.7" top="0.75" bottom="0.75" header="0.3" footer="0.3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5"/>
  <sheetViews>
    <sheetView topLeftCell="C13" zoomScale="90" zoomScaleNormal="90" workbookViewId="0">
      <selection activeCell="F37" sqref="F37"/>
    </sheetView>
  </sheetViews>
  <sheetFormatPr baseColWidth="10" defaultColWidth="8.83203125" defaultRowHeight="15" x14ac:dyDescent="0.2"/>
  <cols>
    <col min="1" max="1" width="13.5" customWidth="1"/>
    <col min="2" max="2" width="17" customWidth="1"/>
    <col min="3" max="3" width="13.832031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257" max="257" width="13.5" customWidth="1"/>
    <col min="258" max="258" width="17" customWidth="1"/>
    <col min="259" max="259" width="13.83203125" customWidth="1"/>
    <col min="261" max="261" width="13" customWidth="1"/>
    <col min="262" max="262" width="17.33203125" customWidth="1"/>
    <col min="263" max="263" width="12.5" customWidth="1"/>
    <col min="264" max="264" width="17" customWidth="1"/>
    <col min="265" max="265" width="13.5" customWidth="1"/>
    <col min="513" max="513" width="13.5" customWidth="1"/>
    <col min="514" max="514" width="17" customWidth="1"/>
    <col min="515" max="515" width="13.83203125" customWidth="1"/>
    <col min="517" max="517" width="13" customWidth="1"/>
    <col min="518" max="518" width="17.33203125" customWidth="1"/>
    <col min="519" max="519" width="12.5" customWidth="1"/>
    <col min="520" max="520" width="17" customWidth="1"/>
    <col min="521" max="521" width="13.5" customWidth="1"/>
    <col min="769" max="769" width="13.5" customWidth="1"/>
    <col min="770" max="770" width="17" customWidth="1"/>
    <col min="771" max="771" width="13.83203125" customWidth="1"/>
    <col min="773" max="773" width="13" customWidth="1"/>
    <col min="774" max="774" width="17.33203125" customWidth="1"/>
    <col min="775" max="775" width="12.5" customWidth="1"/>
    <col min="776" max="776" width="17" customWidth="1"/>
    <col min="777" max="777" width="13.5" customWidth="1"/>
    <col min="1025" max="1025" width="13.5" customWidth="1"/>
    <col min="1026" max="1026" width="17" customWidth="1"/>
    <col min="1027" max="1027" width="13.83203125" customWidth="1"/>
    <col min="1029" max="1029" width="13" customWidth="1"/>
    <col min="1030" max="1030" width="17.33203125" customWidth="1"/>
    <col min="1031" max="1031" width="12.5" customWidth="1"/>
    <col min="1032" max="1032" width="17" customWidth="1"/>
    <col min="1033" max="1033" width="13.5" customWidth="1"/>
    <col min="1281" max="1281" width="13.5" customWidth="1"/>
    <col min="1282" max="1282" width="17" customWidth="1"/>
    <col min="1283" max="1283" width="13.83203125" customWidth="1"/>
    <col min="1285" max="1285" width="13" customWidth="1"/>
    <col min="1286" max="1286" width="17.33203125" customWidth="1"/>
    <col min="1287" max="1287" width="12.5" customWidth="1"/>
    <col min="1288" max="1288" width="17" customWidth="1"/>
    <col min="1289" max="1289" width="13.5" customWidth="1"/>
    <col min="1537" max="1537" width="13.5" customWidth="1"/>
    <col min="1538" max="1538" width="17" customWidth="1"/>
    <col min="1539" max="1539" width="13.83203125" customWidth="1"/>
    <col min="1541" max="1541" width="13" customWidth="1"/>
    <col min="1542" max="1542" width="17.33203125" customWidth="1"/>
    <col min="1543" max="1543" width="12.5" customWidth="1"/>
    <col min="1544" max="1544" width="17" customWidth="1"/>
    <col min="1545" max="1545" width="13.5" customWidth="1"/>
    <col min="1793" max="1793" width="13.5" customWidth="1"/>
    <col min="1794" max="1794" width="17" customWidth="1"/>
    <col min="1795" max="1795" width="13.83203125" customWidth="1"/>
    <col min="1797" max="1797" width="13" customWidth="1"/>
    <col min="1798" max="1798" width="17.33203125" customWidth="1"/>
    <col min="1799" max="1799" width="12.5" customWidth="1"/>
    <col min="1800" max="1800" width="17" customWidth="1"/>
    <col min="1801" max="1801" width="13.5" customWidth="1"/>
    <col min="2049" max="2049" width="13.5" customWidth="1"/>
    <col min="2050" max="2050" width="17" customWidth="1"/>
    <col min="2051" max="2051" width="13.83203125" customWidth="1"/>
    <col min="2053" max="2053" width="13" customWidth="1"/>
    <col min="2054" max="2054" width="17.33203125" customWidth="1"/>
    <col min="2055" max="2055" width="12.5" customWidth="1"/>
    <col min="2056" max="2056" width="17" customWidth="1"/>
    <col min="2057" max="2057" width="13.5" customWidth="1"/>
    <col min="2305" max="2305" width="13.5" customWidth="1"/>
    <col min="2306" max="2306" width="17" customWidth="1"/>
    <col min="2307" max="2307" width="13.83203125" customWidth="1"/>
    <col min="2309" max="2309" width="13" customWidth="1"/>
    <col min="2310" max="2310" width="17.33203125" customWidth="1"/>
    <col min="2311" max="2311" width="12.5" customWidth="1"/>
    <col min="2312" max="2312" width="17" customWidth="1"/>
    <col min="2313" max="2313" width="13.5" customWidth="1"/>
    <col min="2561" max="2561" width="13.5" customWidth="1"/>
    <col min="2562" max="2562" width="17" customWidth="1"/>
    <col min="2563" max="2563" width="13.83203125" customWidth="1"/>
    <col min="2565" max="2565" width="13" customWidth="1"/>
    <col min="2566" max="2566" width="17.33203125" customWidth="1"/>
    <col min="2567" max="2567" width="12.5" customWidth="1"/>
    <col min="2568" max="2568" width="17" customWidth="1"/>
    <col min="2569" max="2569" width="13.5" customWidth="1"/>
    <col min="2817" max="2817" width="13.5" customWidth="1"/>
    <col min="2818" max="2818" width="17" customWidth="1"/>
    <col min="2819" max="2819" width="13.83203125" customWidth="1"/>
    <col min="2821" max="2821" width="13" customWidth="1"/>
    <col min="2822" max="2822" width="17.33203125" customWidth="1"/>
    <col min="2823" max="2823" width="12.5" customWidth="1"/>
    <col min="2824" max="2824" width="17" customWidth="1"/>
    <col min="2825" max="2825" width="13.5" customWidth="1"/>
    <col min="3073" max="3073" width="13.5" customWidth="1"/>
    <col min="3074" max="3074" width="17" customWidth="1"/>
    <col min="3075" max="3075" width="13.83203125" customWidth="1"/>
    <col min="3077" max="3077" width="13" customWidth="1"/>
    <col min="3078" max="3078" width="17.33203125" customWidth="1"/>
    <col min="3079" max="3079" width="12.5" customWidth="1"/>
    <col min="3080" max="3080" width="17" customWidth="1"/>
    <col min="3081" max="3081" width="13.5" customWidth="1"/>
    <col min="3329" max="3329" width="13.5" customWidth="1"/>
    <col min="3330" max="3330" width="17" customWidth="1"/>
    <col min="3331" max="3331" width="13.83203125" customWidth="1"/>
    <col min="3333" max="3333" width="13" customWidth="1"/>
    <col min="3334" max="3334" width="17.33203125" customWidth="1"/>
    <col min="3335" max="3335" width="12.5" customWidth="1"/>
    <col min="3336" max="3336" width="17" customWidth="1"/>
    <col min="3337" max="3337" width="13.5" customWidth="1"/>
    <col min="3585" max="3585" width="13.5" customWidth="1"/>
    <col min="3586" max="3586" width="17" customWidth="1"/>
    <col min="3587" max="3587" width="13.83203125" customWidth="1"/>
    <col min="3589" max="3589" width="13" customWidth="1"/>
    <col min="3590" max="3590" width="17.33203125" customWidth="1"/>
    <col min="3591" max="3591" width="12.5" customWidth="1"/>
    <col min="3592" max="3592" width="17" customWidth="1"/>
    <col min="3593" max="3593" width="13.5" customWidth="1"/>
    <col min="3841" max="3841" width="13.5" customWidth="1"/>
    <col min="3842" max="3842" width="17" customWidth="1"/>
    <col min="3843" max="3843" width="13.83203125" customWidth="1"/>
    <col min="3845" max="3845" width="13" customWidth="1"/>
    <col min="3846" max="3846" width="17.33203125" customWidth="1"/>
    <col min="3847" max="3847" width="12.5" customWidth="1"/>
    <col min="3848" max="3848" width="17" customWidth="1"/>
    <col min="3849" max="3849" width="13.5" customWidth="1"/>
    <col min="4097" max="4097" width="13.5" customWidth="1"/>
    <col min="4098" max="4098" width="17" customWidth="1"/>
    <col min="4099" max="4099" width="13.83203125" customWidth="1"/>
    <col min="4101" max="4101" width="13" customWidth="1"/>
    <col min="4102" max="4102" width="17.33203125" customWidth="1"/>
    <col min="4103" max="4103" width="12.5" customWidth="1"/>
    <col min="4104" max="4104" width="17" customWidth="1"/>
    <col min="4105" max="4105" width="13.5" customWidth="1"/>
    <col min="4353" max="4353" width="13.5" customWidth="1"/>
    <col min="4354" max="4354" width="17" customWidth="1"/>
    <col min="4355" max="4355" width="13.83203125" customWidth="1"/>
    <col min="4357" max="4357" width="13" customWidth="1"/>
    <col min="4358" max="4358" width="17.33203125" customWidth="1"/>
    <col min="4359" max="4359" width="12.5" customWidth="1"/>
    <col min="4360" max="4360" width="17" customWidth="1"/>
    <col min="4361" max="4361" width="13.5" customWidth="1"/>
    <col min="4609" max="4609" width="13.5" customWidth="1"/>
    <col min="4610" max="4610" width="17" customWidth="1"/>
    <col min="4611" max="4611" width="13.83203125" customWidth="1"/>
    <col min="4613" max="4613" width="13" customWidth="1"/>
    <col min="4614" max="4614" width="17.33203125" customWidth="1"/>
    <col min="4615" max="4615" width="12.5" customWidth="1"/>
    <col min="4616" max="4616" width="17" customWidth="1"/>
    <col min="4617" max="4617" width="13.5" customWidth="1"/>
    <col min="4865" max="4865" width="13.5" customWidth="1"/>
    <col min="4866" max="4866" width="17" customWidth="1"/>
    <col min="4867" max="4867" width="13.83203125" customWidth="1"/>
    <col min="4869" max="4869" width="13" customWidth="1"/>
    <col min="4870" max="4870" width="17.33203125" customWidth="1"/>
    <col min="4871" max="4871" width="12.5" customWidth="1"/>
    <col min="4872" max="4872" width="17" customWidth="1"/>
    <col min="4873" max="4873" width="13.5" customWidth="1"/>
    <col min="5121" max="5121" width="13.5" customWidth="1"/>
    <col min="5122" max="5122" width="17" customWidth="1"/>
    <col min="5123" max="5123" width="13.83203125" customWidth="1"/>
    <col min="5125" max="5125" width="13" customWidth="1"/>
    <col min="5126" max="5126" width="17.33203125" customWidth="1"/>
    <col min="5127" max="5127" width="12.5" customWidth="1"/>
    <col min="5128" max="5128" width="17" customWidth="1"/>
    <col min="5129" max="5129" width="13.5" customWidth="1"/>
    <col min="5377" max="5377" width="13.5" customWidth="1"/>
    <col min="5378" max="5378" width="17" customWidth="1"/>
    <col min="5379" max="5379" width="13.83203125" customWidth="1"/>
    <col min="5381" max="5381" width="13" customWidth="1"/>
    <col min="5382" max="5382" width="17.33203125" customWidth="1"/>
    <col min="5383" max="5383" width="12.5" customWidth="1"/>
    <col min="5384" max="5384" width="17" customWidth="1"/>
    <col min="5385" max="5385" width="13.5" customWidth="1"/>
    <col min="5633" max="5633" width="13.5" customWidth="1"/>
    <col min="5634" max="5634" width="17" customWidth="1"/>
    <col min="5635" max="5635" width="13.83203125" customWidth="1"/>
    <col min="5637" max="5637" width="13" customWidth="1"/>
    <col min="5638" max="5638" width="17.33203125" customWidth="1"/>
    <col min="5639" max="5639" width="12.5" customWidth="1"/>
    <col min="5640" max="5640" width="17" customWidth="1"/>
    <col min="5641" max="5641" width="13.5" customWidth="1"/>
    <col min="5889" max="5889" width="13.5" customWidth="1"/>
    <col min="5890" max="5890" width="17" customWidth="1"/>
    <col min="5891" max="5891" width="13.83203125" customWidth="1"/>
    <col min="5893" max="5893" width="13" customWidth="1"/>
    <col min="5894" max="5894" width="17.33203125" customWidth="1"/>
    <col min="5895" max="5895" width="12.5" customWidth="1"/>
    <col min="5896" max="5896" width="17" customWidth="1"/>
    <col min="5897" max="5897" width="13.5" customWidth="1"/>
    <col min="6145" max="6145" width="13.5" customWidth="1"/>
    <col min="6146" max="6146" width="17" customWidth="1"/>
    <col min="6147" max="6147" width="13.83203125" customWidth="1"/>
    <col min="6149" max="6149" width="13" customWidth="1"/>
    <col min="6150" max="6150" width="17.33203125" customWidth="1"/>
    <col min="6151" max="6151" width="12.5" customWidth="1"/>
    <col min="6152" max="6152" width="17" customWidth="1"/>
    <col min="6153" max="6153" width="13.5" customWidth="1"/>
    <col min="6401" max="6401" width="13.5" customWidth="1"/>
    <col min="6402" max="6402" width="17" customWidth="1"/>
    <col min="6403" max="6403" width="13.83203125" customWidth="1"/>
    <col min="6405" max="6405" width="13" customWidth="1"/>
    <col min="6406" max="6406" width="17.33203125" customWidth="1"/>
    <col min="6407" max="6407" width="12.5" customWidth="1"/>
    <col min="6408" max="6408" width="17" customWidth="1"/>
    <col min="6409" max="6409" width="13.5" customWidth="1"/>
    <col min="6657" max="6657" width="13.5" customWidth="1"/>
    <col min="6658" max="6658" width="17" customWidth="1"/>
    <col min="6659" max="6659" width="13.83203125" customWidth="1"/>
    <col min="6661" max="6661" width="13" customWidth="1"/>
    <col min="6662" max="6662" width="17.33203125" customWidth="1"/>
    <col min="6663" max="6663" width="12.5" customWidth="1"/>
    <col min="6664" max="6664" width="17" customWidth="1"/>
    <col min="6665" max="6665" width="13.5" customWidth="1"/>
    <col min="6913" max="6913" width="13.5" customWidth="1"/>
    <col min="6914" max="6914" width="17" customWidth="1"/>
    <col min="6915" max="6915" width="13.83203125" customWidth="1"/>
    <col min="6917" max="6917" width="13" customWidth="1"/>
    <col min="6918" max="6918" width="17.33203125" customWidth="1"/>
    <col min="6919" max="6919" width="12.5" customWidth="1"/>
    <col min="6920" max="6920" width="17" customWidth="1"/>
    <col min="6921" max="6921" width="13.5" customWidth="1"/>
    <col min="7169" max="7169" width="13.5" customWidth="1"/>
    <col min="7170" max="7170" width="17" customWidth="1"/>
    <col min="7171" max="7171" width="13.83203125" customWidth="1"/>
    <col min="7173" max="7173" width="13" customWidth="1"/>
    <col min="7174" max="7174" width="17.33203125" customWidth="1"/>
    <col min="7175" max="7175" width="12.5" customWidth="1"/>
    <col min="7176" max="7176" width="17" customWidth="1"/>
    <col min="7177" max="7177" width="13.5" customWidth="1"/>
    <col min="7425" max="7425" width="13.5" customWidth="1"/>
    <col min="7426" max="7426" width="17" customWidth="1"/>
    <col min="7427" max="7427" width="13.83203125" customWidth="1"/>
    <col min="7429" max="7429" width="13" customWidth="1"/>
    <col min="7430" max="7430" width="17.33203125" customWidth="1"/>
    <col min="7431" max="7431" width="12.5" customWidth="1"/>
    <col min="7432" max="7432" width="17" customWidth="1"/>
    <col min="7433" max="7433" width="13.5" customWidth="1"/>
    <col min="7681" max="7681" width="13.5" customWidth="1"/>
    <col min="7682" max="7682" width="17" customWidth="1"/>
    <col min="7683" max="7683" width="13.83203125" customWidth="1"/>
    <col min="7685" max="7685" width="13" customWidth="1"/>
    <col min="7686" max="7686" width="17.33203125" customWidth="1"/>
    <col min="7687" max="7687" width="12.5" customWidth="1"/>
    <col min="7688" max="7688" width="17" customWidth="1"/>
    <col min="7689" max="7689" width="13.5" customWidth="1"/>
    <col min="7937" max="7937" width="13.5" customWidth="1"/>
    <col min="7938" max="7938" width="17" customWidth="1"/>
    <col min="7939" max="7939" width="13.83203125" customWidth="1"/>
    <col min="7941" max="7941" width="13" customWidth="1"/>
    <col min="7942" max="7942" width="17.33203125" customWidth="1"/>
    <col min="7943" max="7943" width="12.5" customWidth="1"/>
    <col min="7944" max="7944" width="17" customWidth="1"/>
    <col min="7945" max="7945" width="13.5" customWidth="1"/>
    <col min="8193" max="8193" width="13.5" customWidth="1"/>
    <col min="8194" max="8194" width="17" customWidth="1"/>
    <col min="8195" max="8195" width="13.83203125" customWidth="1"/>
    <col min="8197" max="8197" width="13" customWidth="1"/>
    <col min="8198" max="8198" width="17.33203125" customWidth="1"/>
    <col min="8199" max="8199" width="12.5" customWidth="1"/>
    <col min="8200" max="8200" width="17" customWidth="1"/>
    <col min="8201" max="8201" width="13.5" customWidth="1"/>
    <col min="8449" max="8449" width="13.5" customWidth="1"/>
    <col min="8450" max="8450" width="17" customWidth="1"/>
    <col min="8451" max="8451" width="13.83203125" customWidth="1"/>
    <col min="8453" max="8453" width="13" customWidth="1"/>
    <col min="8454" max="8454" width="17.33203125" customWidth="1"/>
    <col min="8455" max="8455" width="12.5" customWidth="1"/>
    <col min="8456" max="8456" width="17" customWidth="1"/>
    <col min="8457" max="8457" width="13.5" customWidth="1"/>
    <col min="8705" max="8705" width="13.5" customWidth="1"/>
    <col min="8706" max="8706" width="17" customWidth="1"/>
    <col min="8707" max="8707" width="13.83203125" customWidth="1"/>
    <col min="8709" max="8709" width="13" customWidth="1"/>
    <col min="8710" max="8710" width="17.33203125" customWidth="1"/>
    <col min="8711" max="8711" width="12.5" customWidth="1"/>
    <col min="8712" max="8712" width="17" customWidth="1"/>
    <col min="8713" max="8713" width="13.5" customWidth="1"/>
    <col min="8961" max="8961" width="13.5" customWidth="1"/>
    <col min="8962" max="8962" width="17" customWidth="1"/>
    <col min="8963" max="8963" width="13.83203125" customWidth="1"/>
    <col min="8965" max="8965" width="13" customWidth="1"/>
    <col min="8966" max="8966" width="17.33203125" customWidth="1"/>
    <col min="8967" max="8967" width="12.5" customWidth="1"/>
    <col min="8968" max="8968" width="17" customWidth="1"/>
    <col min="8969" max="8969" width="13.5" customWidth="1"/>
    <col min="9217" max="9217" width="13.5" customWidth="1"/>
    <col min="9218" max="9218" width="17" customWidth="1"/>
    <col min="9219" max="9219" width="13.83203125" customWidth="1"/>
    <col min="9221" max="9221" width="13" customWidth="1"/>
    <col min="9222" max="9222" width="17.33203125" customWidth="1"/>
    <col min="9223" max="9223" width="12.5" customWidth="1"/>
    <col min="9224" max="9224" width="17" customWidth="1"/>
    <col min="9225" max="9225" width="13.5" customWidth="1"/>
    <col min="9473" max="9473" width="13.5" customWidth="1"/>
    <col min="9474" max="9474" width="17" customWidth="1"/>
    <col min="9475" max="9475" width="13.83203125" customWidth="1"/>
    <col min="9477" max="9477" width="13" customWidth="1"/>
    <col min="9478" max="9478" width="17.33203125" customWidth="1"/>
    <col min="9479" max="9479" width="12.5" customWidth="1"/>
    <col min="9480" max="9480" width="17" customWidth="1"/>
    <col min="9481" max="9481" width="13.5" customWidth="1"/>
    <col min="9729" max="9729" width="13.5" customWidth="1"/>
    <col min="9730" max="9730" width="17" customWidth="1"/>
    <col min="9731" max="9731" width="13.83203125" customWidth="1"/>
    <col min="9733" max="9733" width="13" customWidth="1"/>
    <col min="9734" max="9734" width="17.33203125" customWidth="1"/>
    <col min="9735" max="9735" width="12.5" customWidth="1"/>
    <col min="9736" max="9736" width="17" customWidth="1"/>
    <col min="9737" max="9737" width="13.5" customWidth="1"/>
    <col min="9985" max="9985" width="13.5" customWidth="1"/>
    <col min="9986" max="9986" width="17" customWidth="1"/>
    <col min="9987" max="9987" width="13.83203125" customWidth="1"/>
    <col min="9989" max="9989" width="13" customWidth="1"/>
    <col min="9990" max="9990" width="17.33203125" customWidth="1"/>
    <col min="9991" max="9991" width="12.5" customWidth="1"/>
    <col min="9992" max="9992" width="17" customWidth="1"/>
    <col min="9993" max="9993" width="13.5" customWidth="1"/>
    <col min="10241" max="10241" width="13.5" customWidth="1"/>
    <col min="10242" max="10242" width="17" customWidth="1"/>
    <col min="10243" max="10243" width="13.83203125" customWidth="1"/>
    <col min="10245" max="10245" width="13" customWidth="1"/>
    <col min="10246" max="10246" width="17.33203125" customWidth="1"/>
    <col min="10247" max="10247" width="12.5" customWidth="1"/>
    <col min="10248" max="10248" width="17" customWidth="1"/>
    <col min="10249" max="10249" width="13.5" customWidth="1"/>
    <col min="10497" max="10497" width="13.5" customWidth="1"/>
    <col min="10498" max="10498" width="17" customWidth="1"/>
    <col min="10499" max="10499" width="13.83203125" customWidth="1"/>
    <col min="10501" max="10501" width="13" customWidth="1"/>
    <col min="10502" max="10502" width="17.33203125" customWidth="1"/>
    <col min="10503" max="10503" width="12.5" customWidth="1"/>
    <col min="10504" max="10504" width="17" customWidth="1"/>
    <col min="10505" max="10505" width="13.5" customWidth="1"/>
    <col min="10753" max="10753" width="13.5" customWidth="1"/>
    <col min="10754" max="10754" width="17" customWidth="1"/>
    <col min="10755" max="10755" width="13.83203125" customWidth="1"/>
    <col min="10757" max="10757" width="13" customWidth="1"/>
    <col min="10758" max="10758" width="17.33203125" customWidth="1"/>
    <col min="10759" max="10759" width="12.5" customWidth="1"/>
    <col min="10760" max="10760" width="17" customWidth="1"/>
    <col min="10761" max="10761" width="13.5" customWidth="1"/>
    <col min="11009" max="11009" width="13.5" customWidth="1"/>
    <col min="11010" max="11010" width="17" customWidth="1"/>
    <col min="11011" max="11011" width="13.83203125" customWidth="1"/>
    <col min="11013" max="11013" width="13" customWidth="1"/>
    <col min="11014" max="11014" width="17.33203125" customWidth="1"/>
    <col min="11015" max="11015" width="12.5" customWidth="1"/>
    <col min="11016" max="11016" width="17" customWidth="1"/>
    <col min="11017" max="11017" width="13.5" customWidth="1"/>
    <col min="11265" max="11265" width="13.5" customWidth="1"/>
    <col min="11266" max="11266" width="17" customWidth="1"/>
    <col min="11267" max="11267" width="13.83203125" customWidth="1"/>
    <col min="11269" max="11269" width="13" customWidth="1"/>
    <col min="11270" max="11270" width="17.33203125" customWidth="1"/>
    <col min="11271" max="11271" width="12.5" customWidth="1"/>
    <col min="11272" max="11272" width="17" customWidth="1"/>
    <col min="11273" max="11273" width="13.5" customWidth="1"/>
    <col min="11521" max="11521" width="13.5" customWidth="1"/>
    <col min="11522" max="11522" width="17" customWidth="1"/>
    <col min="11523" max="11523" width="13.83203125" customWidth="1"/>
    <col min="11525" max="11525" width="13" customWidth="1"/>
    <col min="11526" max="11526" width="17.33203125" customWidth="1"/>
    <col min="11527" max="11527" width="12.5" customWidth="1"/>
    <col min="11528" max="11528" width="17" customWidth="1"/>
    <col min="11529" max="11529" width="13.5" customWidth="1"/>
    <col min="11777" max="11777" width="13.5" customWidth="1"/>
    <col min="11778" max="11778" width="17" customWidth="1"/>
    <col min="11779" max="11779" width="13.83203125" customWidth="1"/>
    <col min="11781" max="11781" width="13" customWidth="1"/>
    <col min="11782" max="11782" width="17.33203125" customWidth="1"/>
    <col min="11783" max="11783" width="12.5" customWidth="1"/>
    <col min="11784" max="11784" width="17" customWidth="1"/>
    <col min="11785" max="11785" width="13.5" customWidth="1"/>
    <col min="12033" max="12033" width="13.5" customWidth="1"/>
    <col min="12034" max="12034" width="17" customWidth="1"/>
    <col min="12035" max="12035" width="13.83203125" customWidth="1"/>
    <col min="12037" max="12037" width="13" customWidth="1"/>
    <col min="12038" max="12038" width="17.33203125" customWidth="1"/>
    <col min="12039" max="12039" width="12.5" customWidth="1"/>
    <col min="12040" max="12040" width="17" customWidth="1"/>
    <col min="12041" max="12041" width="13.5" customWidth="1"/>
    <col min="12289" max="12289" width="13.5" customWidth="1"/>
    <col min="12290" max="12290" width="17" customWidth="1"/>
    <col min="12291" max="12291" width="13.83203125" customWidth="1"/>
    <col min="12293" max="12293" width="13" customWidth="1"/>
    <col min="12294" max="12294" width="17.33203125" customWidth="1"/>
    <col min="12295" max="12295" width="12.5" customWidth="1"/>
    <col min="12296" max="12296" width="17" customWidth="1"/>
    <col min="12297" max="12297" width="13.5" customWidth="1"/>
    <col min="12545" max="12545" width="13.5" customWidth="1"/>
    <col min="12546" max="12546" width="17" customWidth="1"/>
    <col min="12547" max="12547" width="13.83203125" customWidth="1"/>
    <col min="12549" max="12549" width="13" customWidth="1"/>
    <col min="12550" max="12550" width="17.33203125" customWidth="1"/>
    <col min="12551" max="12551" width="12.5" customWidth="1"/>
    <col min="12552" max="12552" width="17" customWidth="1"/>
    <col min="12553" max="12553" width="13.5" customWidth="1"/>
    <col min="12801" max="12801" width="13.5" customWidth="1"/>
    <col min="12802" max="12802" width="17" customWidth="1"/>
    <col min="12803" max="12803" width="13.83203125" customWidth="1"/>
    <col min="12805" max="12805" width="13" customWidth="1"/>
    <col min="12806" max="12806" width="17.33203125" customWidth="1"/>
    <col min="12807" max="12807" width="12.5" customWidth="1"/>
    <col min="12808" max="12808" width="17" customWidth="1"/>
    <col min="12809" max="12809" width="13.5" customWidth="1"/>
    <col min="13057" max="13057" width="13.5" customWidth="1"/>
    <col min="13058" max="13058" width="17" customWidth="1"/>
    <col min="13059" max="13059" width="13.83203125" customWidth="1"/>
    <col min="13061" max="13061" width="13" customWidth="1"/>
    <col min="13062" max="13062" width="17.33203125" customWidth="1"/>
    <col min="13063" max="13063" width="12.5" customWidth="1"/>
    <col min="13064" max="13064" width="17" customWidth="1"/>
    <col min="13065" max="13065" width="13.5" customWidth="1"/>
    <col min="13313" max="13313" width="13.5" customWidth="1"/>
    <col min="13314" max="13314" width="17" customWidth="1"/>
    <col min="13315" max="13315" width="13.83203125" customWidth="1"/>
    <col min="13317" max="13317" width="13" customWidth="1"/>
    <col min="13318" max="13318" width="17.33203125" customWidth="1"/>
    <col min="13319" max="13319" width="12.5" customWidth="1"/>
    <col min="13320" max="13320" width="17" customWidth="1"/>
    <col min="13321" max="13321" width="13.5" customWidth="1"/>
    <col min="13569" max="13569" width="13.5" customWidth="1"/>
    <col min="13570" max="13570" width="17" customWidth="1"/>
    <col min="13571" max="13571" width="13.83203125" customWidth="1"/>
    <col min="13573" max="13573" width="13" customWidth="1"/>
    <col min="13574" max="13574" width="17.33203125" customWidth="1"/>
    <col min="13575" max="13575" width="12.5" customWidth="1"/>
    <col min="13576" max="13576" width="17" customWidth="1"/>
    <col min="13577" max="13577" width="13.5" customWidth="1"/>
    <col min="13825" max="13825" width="13.5" customWidth="1"/>
    <col min="13826" max="13826" width="17" customWidth="1"/>
    <col min="13827" max="13827" width="13.83203125" customWidth="1"/>
    <col min="13829" max="13829" width="13" customWidth="1"/>
    <col min="13830" max="13830" width="17.33203125" customWidth="1"/>
    <col min="13831" max="13831" width="12.5" customWidth="1"/>
    <col min="13832" max="13832" width="17" customWidth="1"/>
    <col min="13833" max="13833" width="13.5" customWidth="1"/>
    <col min="14081" max="14081" width="13.5" customWidth="1"/>
    <col min="14082" max="14082" width="17" customWidth="1"/>
    <col min="14083" max="14083" width="13.83203125" customWidth="1"/>
    <col min="14085" max="14085" width="13" customWidth="1"/>
    <col min="14086" max="14086" width="17.33203125" customWidth="1"/>
    <col min="14087" max="14087" width="12.5" customWidth="1"/>
    <col min="14088" max="14088" width="17" customWidth="1"/>
    <col min="14089" max="14089" width="13.5" customWidth="1"/>
    <col min="14337" max="14337" width="13.5" customWidth="1"/>
    <col min="14338" max="14338" width="17" customWidth="1"/>
    <col min="14339" max="14339" width="13.83203125" customWidth="1"/>
    <col min="14341" max="14341" width="13" customWidth="1"/>
    <col min="14342" max="14342" width="17.33203125" customWidth="1"/>
    <col min="14343" max="14343" width="12.5" customWidth="1"/>
    <col min="14344" max="14344" width="17" customWidth="1"/>
    <col min="14345" max="14345" width="13.5" customWidth="1"/>
    <col min="14593" max="14593" width="13.5" customWidth="1"/>
    <col min="14594" max="14594" width="17" customWidth="1"/>
    <col min="14595" max="14595" width="13.83203125" customWidth="1"/>
    <col min="14597" max="14597" width="13" customWidth="1"/>
    <col min="14598" max="14598" width="17.33203125" customWidth="1"/>
    <col min="14599" max="14599" width="12.5" customWidth="1"/>
    <col min="14600" max="14600" width="17" customWidth="1"/>
    <col min="14601" max="14601" width="13.5" customWidth="1"/>
    <col min="14849" max="14849" width="13.5" customWidth="1"/>
    <col min="14850" max="14850" width="17" customWidth="1"/>
    <col min="14851" max="14851" width="13.83203125" customWidth="1"/>
    <col min="14853" max="14853" width="13" customWidth="1"/>
    <col min="14854" max="14854" width="17.33203125" customWidth="1"/>
    <col min="14855" max="14855" width="12.5" customWidth="1"/>
    <col min="14856" max="14856" width="17" customWidth="1"/>
    <col min="14857" max="14857" width="13.5" customWidth="1"/>
    <col min="15105" max="15105" width="13.5" customWidth="1"/>
    <col min="15106" max="15106" width="17" customWidth="1"/>
    <col min="15107" max="15107" width="13.83203125" customWidth="1"/>
    <col min="15109" max="15109" width="13" customWidth="1"/>
    <col min="15110" max="15110" width="17.33203125" customWidth="1"/>
    <col min="15111" max="15111" width="12.5" customWidth="1"/>
    <col min="15112" max="15112" width="17" customWidth="1"/>
    <col min="15113" max="15113" width="13.5" customWidth="1"/>
    <col min="15361" max="15361" width="13.5" customWidth="1"/>
    <col min="15362" max="15362" width="17" customWidth="1"/>
    <col min="15363" max="15363" width="13.83203125" customWidth="1"/>
    <col min="15365" max="15365" width="13" customWidth="1"/>
    <col min="15366" max="15366" width="17.33203125" customWidth="1"/>
    <col min="15367" max="15367" width="12.5" customWidth="1"/>
    <col min="15368" max="15368" width="17" customWidth="1"/>
    <col min="15369" max="15369" width="13.5" customWidth="1"/>
    <col min="15617" max="15617" width="13.5" customWidth="1"/>
    <col min="15618" max="15618" width="17" customWidth="1"/>
    <col min="15619" max="15619" width="13.83203125" customWidth="1"/>
    <col min="15621" max="15621" width="13" customWidth="1"/>
    <col min="15622" max="15622" width="17.33203125" customWidth="1"/>
    <col min="15623" max="15623" width="12.5" customWidth="1"/>
    <col min="15624" max="15624" width="17" customWidth="1"/>
    <col min="15625" max="15625" width="13.5" customWidth="1"/>
    <col min="15873" max="15873" width="13.5" customWidth="1"/>
    <col min="15874" max="15874" width="17" customWidth="1"/>
    <col min="15875" max="15875" width="13.83203125" customWidth="1"/>
    <col min="15877" max="15877" width="13" customWidth="1"/>
    <col min="15878" max="15878" width="17.33203125" customWidth="1"/>
    <col min="15879" max="15879" width="12.5" customWidth="1"/>
    <col min="15880" max="15880" width="17" customWidth="1"/>
    <col min="15881" max="15881" width="13.5" customWidth="1"/>
    <col min="16129" max="16129" width="13.5" customWidth="1"/>
    <col min="16130" max="16130" width="17" customWidth="1"/>
    <col min="16131" max="16131" width="13.83203125" customWidth="1"/>
    <col min="16133" max="16133" width="13" customWidth="1"/>
    <col min="16134" max="16134" width="17.33203125" customWidth="1"/>
    <col min="16135" max="16135" width="12.5" customWidth="1"/>
    <col min="16136" max="16136" width="17" customWidth="1"/>
    <col min="16137" max="16137" width="13.5" customWidth="1"/>
  </cols>
  <sheetData>
    <row r="1" spans="1:10" x14ac:dyDescent="0.2">
      <c r="A1" s="28" t="s">
        <v>88</v>
      </c>
      <c r="B1" s="28"/>
      <c r="C1" s="28"/>
      <c r="D1" s="28"/>
      <c r="E1" s="28"/>
      <c r="F1" s="28"/>
      <c r="G1" s="28"/>
      <c r="H1" s="28"/>
    </row>
    <row r="2" spans="1:10" x14ac:dyDescent="0.2">
      <c r="A2" s="29" t="s">
        <v>129</v>
      </c>
      <c r="B2" s="29"/>
      <c r="C2" s="29"/>
      <c r="D2" s="29"/>
      <c r="E2" s="29"/>
      <c r="F2" s="29"/>
      <c r="G2" s="29"/>
      <c r="H2" s="29"/>
    </row>
    <row r="3" spans="1:10" ht="32" x14ac:dyDescent="0.2">
      <c r="B3" s="5" t="s">
        <v>87</v>
      </c>
      <c r="C3" s="4" t="s">
        <v>86</v>
      </c>
      <c r="F3" s="5" t="s">
        <v>87</v>
      </c>
      <c r="G3" s="4" t="s">
        <v>86</v>
      </c>
      <c r="I3" s="3" t="s">
        <v>90</v>
      </c>
    </row>
    <row r="4" spans="1:10" x14ac:dyDescent="0.2">
      <c r="A4" t="s">
        <v>85</v>
      </c>
      <c r="B4" s="13">
        <v>3.78</v>
      </c>
      <c r="C4" s="1">
        <v>1</v>
      </c>
      <c r="E4" t="s">
        <v>84</v>
      </c>
      <c r="F4" s="9">
        <f>(3.3+3.47+3.09+1.44)/4</f>
        <v>2.8249999999999997</v>
      </c>
      <c r="G4" s="1">
        <v>4</v>
      </c>
      <c r="I4" s="1" t="s">
        <v>83</v>
      </c>
      <c r="J4" s="2">
        <v>5.2</v>
      </c>
    </row>
    <row r="5" spans="1:10" x14ac:dyDescent="0.2">
      <c r="A5" t="s">
        <v>82</v>
      </c>
      <c r="B5" s="12">
        <f>(4.6+4.17+5.13+4.34+7.97+4.36+5.82+5.28+2.06+5.65+2.87+7.12+1.76+2.84+4.33+3.2+2.43+4.73+4.69+3.21+6.79+6.1+5.11+6.13+7.24+2.94+2.05+3.23+3.13+4.5+2.65+5.82+2.77+11.82)/34</f>
        <v>4.6129411764705885</v>
      </c>
      <c r="C5" s="11">
        <v>34</v>
      </c>
      <c r="E5" t="s">
        <v>81</v>
      </c>
      <c r="F5" s="12">
        <f>(5.71+2.54+2.65+4.03+1.5)/5</f>
        <v>3.286</v>
      </c>
      <c r="G5" s="11">
        <v>5</v>
      </c>
      <c r="I5" s="1" t="s">
        <v>94</v>
      </c>
      <c r="J5" s="2">
        <v>4.3600000000000003</v>
      </c>
    </row>
    <row r="6" spans="1:10" x14ac:dyDescent="0.2">
      <c r="A6" t="s">
        <v>79</v>
      </c>
      <c r="B6" s="12">
        <v>3.89</v>
      </c>
      <c r="C6" s="11">
        <v>1</v>
      </c>
      <c r="E6" t="s">
        <v>78</v>
      </c>
      <c r="F6" s="12">
        <f>(5.6+6.85+5.22+6.5+8+6.84+6.54+6.03+7.33+2.45+5.82+1.61+1.01+8.47+8.79+5.26+7.6+6.05)/18</f>
        <v>5.8872222222222224</v>
      </c>
      <c r="G6" s="11">
        <v>18</v>
      </c>
      <c r="I6" s="1" t="s">
        <v>80</v>
      </c>
      <c r="J6" s="2">
        <v>4.45</v>
      </c>
    </row>
    <row r="7" spans="1:10" x14ac:dyDescent="0.2">
      <c r="A7" t="s">
        <v>76</v>
      </c>
      <c r="B7" s="13">
        <v>3.22</v>
      </c>
      <c r="C7" s="1">
        <v>1</v>
      </c>
      <c r="E7" t="s">
        <v>75</v>
      </c>
      <c r="F7" s="9">
        <v>2.4300000000000002</v>
      </c>
      <c r="G7" s="1">
        <v>1</v>
      </c>
      <c r="I7" s="1" t="s">
        <v>77</v>
      </c>
      <c r="J7" s="2">
        <v>4.88</v>
      </c>
    </row>
    <row r="8" spans="1:10" x14ac:dyDescent="0.2">
      <c r="A8" t="s">
        <v>73</v>
      </c>
      <c r="B8" s="13">
        <f>(4.79+3.28+3.59+5.78)/4</f>
        <v>4.3600000000000003</v>
      </c>
      <c r="C8" s="1">
        <v>4</v>
      </c>
      <c r="E8" t="s">
        <v>72</v>
      </c>
      <c r="F8" s="9">
        <f>(0.79+1.1+2.03+3.58+3.45+4.26+1.34+0.54+0.11)/9</f>
        <v>1.911111111111111</v>
      </c>
      <c r="G8" s="1">
        <v>9</v>
      </c>
      <c r="I8" s="1" t="s">
        <v>95</v>
      </c>
      <c r="J8" s="2">
        <v>5.3</v>
      </c>
    </row>
    <row r="9" spans="1:10" x14ac:dyDescent="0.2">
      <c r="A9" t="s">
        <v>71</v>
      </c>
      <c r="B9" s="12" t="s">
        <v>117</v>
      </c>
      <c r="C9" s="11">
        <v>0</v>
      </c>
      <c r="E9" t="s">
        <v>70</v>
      </c>
      <c r="F9" s="12">
        <f>(1.11+1.06+3.01+1.41)/4</f>
        <v>1.6475</v>
      </c>
      <c r="G9" s="11">
        <v>4</v>
      </c>
      <c r="I9" s="1" t="s">
        <v>96</v>
      </c>
      <c r="J9" s="2">
        <v>4.3499999999999996</v>
      </c>
    </row>
    <row r="10" spans="1:10" x14ac:dyDescent="0.2">
      <c r="A10" t="s">
        <v>69</v>
      </c>
      <c r="B10" s="12">
        <v>3.5</v>
      </c>
      <c r="C10" s="11">
        <v>1</v>
      </c>
      <c r="E10" t="s">
        <v>68</v>
      </c>
      <c r="F10" s="12">
        <f>(4.17+1.98+4.01+3.22+1.32+1.21)/6</f>
        <v>2.6516666666666668</v>
      </c>
      <c r="G10" s="11">
        <v>6</v>
      </c>
      <c r="I10" s="1" t="s">
        <v>97</v>
      </c>
      <c r="J10" s="2">
        <v>4.6900000000000004</v>
      </c>
    </row>
    <row r="11" spans="1:10" x14ac:dyDescent="0.2">
      <c r="A11" t="s">
        <v>66</v>
      </c>
      <c r="B11" s="13">
        <f>(5.21+4.93)/2</f>
        <v>5.07</v>
      </c>
      <c r="C11" s="1">
        <v>2</v>
      </c>
      <c r="E11" t="s">
        <v>65</v>
      </c>
      <c r="F11" s="9">
        <f>(2.19+1.13+2.59+0.64+0.51+0.2+1.61+0.81+1.93+1.82)/10</f>
        <v>1.343</v>
      </c>
      <c r="G11" s="1">
        <v>10</v>
      </c>
      <c r="I11" s="1" t="s">
        <v>74</v>
      </c>
      <c r="J11" s="2">
        <v>6.46</v>
      </c>
    </row>
    <row r="12" spans="1:10" x14ac:dyDescent="0.2">
      <c r="A12" t="s">
        <v>63</v>
      </c>
      <c r="B12" s="13" t="s">
        <v>117</v>
      </c>
      <c r="C12" s="1">
        <v>0</v>
      </c>
      <c r="E12" t="s">
        <v>62</v>
      </c>
      <c r="F12" s="9" t="s">
        <v>117</v>
      </c>
      <c r="G12" s="1">
        <v>0</v>
      </c>
      <c r="I12" s="1" t="s">
        <v>98</v>
      </c>
      <c r="J12" s="2">
        <v>4.51</v>
      </c>
    </row>
    <row r="13" spans="1:10" x14ac:dyDescent="0.2">
      <c r="A13" t="s">
        <v>61</v>
      </c>
      <c r="B13" s="12" t="s">
        <v>117</v>
      </c>
      <c r="C13" s="11">
        <v>0</v>
      </c>
      <c r="E13" t="s">
        <v>60</v>
      </c>
      <c r="F13" s="12" t="s">
        <v>117</v>
      </c>
      <c r="G13" s="11">
        <v>0</v>
      </c>
      <c r="I13" s="1" t="s">
        <v>99</v>
      </c>
      <c r="J13" s="2">
        <v>3.39</v>
      </c>
    </row>
    <row r="14" spans="1:10" x14ac:dyDescent="0.2">
      <c r="A14" t="s">
        <v>59</v>
      </c>
      <c r="B14" s="12">
        <v>1.97</v>
      </c>
      <c r="C14" s="11">
        <v>1</v>
      </c>
      <c r="E14" t="s">
        <v>58</v>
      </c>
      <c r="F14" s="12">
        <f>(2.32+4.26+1.81+2.82+1.31+0.83+2.35+0.72+1.98+2.31+2.56+2.05+1.93+1.57+1.35+1.62+1.67+0.65+3.31+2.25+4.95+5.15)/22</f>
        <v>2.2622727272727272</v>
      </c>
      <c r="G14" s="11">
        <v>22</v>
      </c>
      <c r="I14" s="1" t="s">
        <v>100</v>
      </c>
      <c r="J14" s="2">
        <v>4.28</v>
      </c>
    </row>
    <row r="15" spans="1:10" x14ac:dyDescent="0.2">
      <c r="A15" t="s">
        <v>57</v>
      </c>
      <c r="B15" s="13">
        <f>(4.67+0)/2</f>
        <v>2.335</v>
      </c>
      <c r="C15" s="1">
        <v>2</v>
      </c>
      <c r="E15" t="s">
        <v>56</v>
      </c>
      <c r="F15" s="9" t="s">
        <v>117</v>
      </c>
      <c r="G15" s="1">
        <v>0</v>
      </c>
      <c r="I15" s="1" t="s">
        <v>101</v>
      </c>
      <c r="J15" s="2">
        <v>4.71</v>
      </c>
    </row>
    <row r="16" spans="1:10" x14ac:dyDescent="0.2">
      <c r="A16" t="s">
        <v>54</v>
      </c>
      <c r="B16" s="13">
        <f>(3.7+6.24+4.97)/3</f>
        <v>4.97</v>
      </c>
      <c r="C16" s="1">
        <v>3</v>
      </c>
      <c r="E16" t="s">
        <v>53</v>
      </c>
      <c r="F16" s="9">
        <v>2.57</v>
      </c>
      <c r="G16" s="1">
        <v>1</v>
      </c>
      <c r="I16" s="1" t="s">
        <v>102</v>
      </c>
      <c r="J16" s="2">
        <v>4.0999999999999996</v>
      </c>
    </row>
    <row r="17" spans="1:10" x14ac:dyDescent="0.2">
      <c r="A17" t="s">
        <v>52</v>
      </c>
      <c r="B17" s="12">
        <v>9.4600000000000009</v>
      </c>
      <c r="C17" s="11">
        <v>1</v>
      </c>
      <c r="E17" t="s">
        <v>51</v>
      </c>
      <c r="F17" s="12">
        <f>(7.32+4.34+3.89+6.67+2.24+1.76+5.05+6.66+3.04+6.6+4.49)/11</f>
        <v>4.7327272727272733</v>
      </c>
      <c r="G17" s="11">
        <v>11</v>
      </c>
      <c r="I17" s="1" t="s">
        <v>103</v>
      </c>
      <c r="J17" s="2">
        <v>5.08</v>
      </c>
    </row>
    <row r="18" spans="1:10" x14ac:dyDescent="0.2">
      <c r="A18" t="s">
        <v>49</v>
      </c>
      <c r="B18" s="12" t="s">
        <v>117</v>
      </c>
      <c r="C18" s="11">
        <v>0</v>
      </c>
      <c r="E18" t="s">
        <v>48</v>
      </c>
      <c r="F18" s="12">
        <f>(3.27+1.68+1.4+2.24+3.91+1.63+1.22+1.2+2.17+2.25+2.26+1.29+2.38+1.76+1.5+3.12+0.86+3.19+2.42+2.55+2.84+1.73+1.42)/23</f>
        <v>2.0995652173913038</v>
      </c>
      <c r="G18" s="11">
        <v>23</v>
      </c>
      <c r="I18" s="1" t="s">
        <v>67</v>
      </c>
      <c r="J18" s="2">
        <v>5.14</v>
      </c>
    </row>
    <row r="19" spans="1:10" x14ac:dyDescent="0.2">
      <c r="A19" t="s">
        <v>46</v>
      </c>
      <c r="B19" s="13" t="s">
        <v>117</v>
      </c>
      <c r="C19" s="1">
        <v>0</v>
      </c>
      <c r="E19" t="s">
        <v>45</v>
      </c>
      <c r="F19" s="9">
        <f>(2.23+1.3+3.08)/3</f>
        <v>2.2033333333333336</v>
      </c>
      <c r="G19" s="1">
        <v>3</v>
      </c>
      <c r="I19" s="1" t="s">
        <v>64</v>
      </c>
      <c r="J19" s="2">
        <v>5.7</v>
      </c>
    </row>
    <row r="20" spans="1:10" x14ac:dyDescent="0.2">
      <c r="A20" t="s">
        <v>43</v>
      </c>
      <c r="B20" s="13">
        <f>(5.5+1.11+1.1+1.44+1.77+1.34+0.6)/7</f>
        <v>1.837142857142857</v>
      </c>
      <c r="C20" s="1">
        <v>7</v>
      </c>
      <c r="E20" t="s">
        <v>42</v>
      </c>
      <c r="F20" s="9">
        <f>(2.25+2.99+3.88+3.27)/4</f>
        <v>3.0975000000000001</v>
      </c>
      <c r="G20" s="1">
        <v>4</v>
      </c>
      <c r="I20" s="1" t="s">
        <v>104</v>
      </c>
      <c r="J20" s="2">
        <v>4.5999999999999996</v>
      </c>
    </row>
    <row r="21" spans="1:10" x14ac:dyDescent="0.2">
      <c r="A21" t="s">
        <v>40</v>
      </c>
      <c r="B21" s="12" t="s">
        <v>117</v>
      </c>
      <c r="C21" s="11">
        <v>0</v>
      </c>
      <c r="E21" t="s">
        <v>39</v>
      </c>
      <c r="F21" s="12">
        <f>(4.3+2.59+1.66+2.68+1.82+2.9)/6</f>
        <v>2.6583333333333332</v>
      </c>
      <c r="G21" s="11">
        <v>6</v>
      </c>
      <c r="I21" s="1" t="s">
        <v>105</v>
      </c>
      <c r="J21" s="2">
        <v>5.52</v>
      </c>
    </row>
    <row r="22" spans="1:10" x14ac:dyDescent="0.2">
      <c r="A22" t="s">
        <v>37</v>
      </c>
      <c r="B22" s="12" t="s">
        <v>117</v>
      </c>
      <c r="C22" s="11">
        <v>0</v>
      </c>
      <c r="E22" t="s">
        <v>36</v>
      </c>
      <c r="F22" s="12" t="s">
        <v>117</v>
      </c>
      <c r="G22" s="11">
        <v>0</v>
      </c>
      <c r="I22" s="1" t="s">
        <v>10</v>
      </c>
      <c r="J22" s="2">
        <v>4.92</v>
      </c>
    </row>
    <row r="23" spans="1:10" x14ac:dyDescent="0.2">
      <c r="A23" t="s">
        <v>35</v>
      </c>
      <c r="B23" s="13">
        <v>6.09</v>
      </c>
      <c r="C23" s="1">
        <v>1</v>
      </c>
      <c r="E23" t="s">
        <v>34</v>
      </c>
      <c r="F23" s="9" t="s">
        <v>117</v>
      </c>
      <c r="G23" s="1">
        <v>0</v>
      </c>
      <c r="I23" s="1" t="s">
        <v>115</v>
      </c>
      <c r="J23" s="2">
        <v>5.79</v>
      </c>
    </row>
    <row r="24" spans="1:10" x14ac:dyDescent="0.2">
      <c r="A24" t="s">
        <v>32</v>
      </c>
      <c r="B24" s="13" t="s">
        <v>117</v>
      </c>
      <c r="C24" s="1">
        <v>0</v>
      </c>
      <c r="E24" t="s">
        <v>31</v>
      </c>
      <c r="F24" s="9" t="s">
        <v>117</v>
      </c>
      <c r="G24" s="1">
        <v>0</v>
      </c>
      <c r="I24" s="1" t="s">
        <v>106</v>
      </c>
      <c r="J24" s="2">
        <v>5</v>
      </c>
    </row>
    <row r="25" spans="1:10" x14ac:dyDescent="0.2">
      <c r="A25" t="s">
        <v>29</v>
      </c>
      <c r="B25" s="12">
        <f>(4.15+4.83+5.08)/3</f>
        <v>4.6866666666666665</v>
      </c>
      <c r="C25" s="11">
        <v>3</v>
      </c>
      <c r="E25" t="s">
        <v>28</v>
      </c>
      <c r="F25" s="12">
        <v>1.74</v>
      </c>
      <c r="G25" s="11">
        <v>1</v>
      </c>
      <c r="I25" s="1" t="s">
        <v>55</v>
      </c>
      <c r="J25" s="2">
        <v>4.83</v>
      </c>
    </row>
    <row r="26" spans="1:10" x14ac:dyDescent="0.2">
      <c r="A26" t="s">
        <v>26</v>
      </c>
      <c r="B26" s="12" t="s">
        <v>117</v>
      </c>
      <c r="C26" s="11">
        <v>0</v>
      </c>
      <c r="E26" t="s">
        <v>25</v>
      </c>
      <c r="F26" s="12">
        <f>(1.84+2)/2</f>
        <v>1.92</v>
      </c>
      <c r="G26" s="11">
        <v>2</v>
      </c>
      <c r="I26" s="1" t="s">
        <v>116</v>
      </c>
      <c r="J26" s="2">
        <v>4.95</v>
      </c>
    </row>
    <row r="27" spans="1:10" x14ac:dyDescent="0.2">
      <c r="A27" t="s">
        <v>23</v>
      </c>
      <c r="B27" s="13">
        <v>1.57</v>
      </c>
      <c r="C27" s="1">
        <v>1</v>
      </c>
      <c r="E27" t="s">
        <v>22</v>
      </c>
      <c r="F27" s="9">
        <f>(5.69+3.71+4.4+2.73+5.12+5.98)/6</f>
        <v>4.6050000000000004</v>
      </c>
      <c r="G27" s="1">
        <v>6</v>
      </c>
      <c r="I27" s="1" t="s">
        <v>107</v>
      </c>
      <c r="J27" s="2">
        <v>4.3099999999999996</v>
      </c>
    </row>
    <row r="28" spans="1:10" x14ac:dyDescent="0.2">
      <c r="A28" t="s">
        <v>20</v>
      </c>
      <c r="B28" s="13">
        <f>(1.94+2.55+1.76+1.11+3.06+1.99+2.81)/7</f>
        <v>2.1742857142857144</v>
      </c>
      <c r="C28" s="1">
        <v>7</v>
      </c>
      <c r="E28" t="s">
        <v>19</v>
      </c>
      <c r="F28" s="9">
        <f>(9.77+8.42+9+6.27+7.41+5.72+6.62+12.29+5.88+6.06+6.45+7.19+8.48+6.98+6.96)/15</f>
        <v>7.5666666666666655</v>
      </c>
      <c r="G28" s="1">
        <v>15</v>
      </c>
      <c r="I28" s="1" t="s">
        <v>50</v>
      </c>
      <c r="J28" s="2">
        <v>3.49</v>
      </c>
    </row>
    <row r="29" spans="1:10" x14ac:dyDescent="0.2">
      <c r="A29" t="s">
        <v>17</v>
      </c>
      <c r="B29" s="12">
        <f>(3.6+3.98+2.47+1.61)/4</f>
        <v>2.915</v>
      </c>
      <c r="C29" s="11">
        <v>4</v>
      </c>
      <c r="E29" t="s">
        <v>16</v>
      </c>
      <c r="F29" s="12" t="s">
        <v>117</v>
      </c>
      <c r="G29" s="11">
        <v>0</v>
      </c>
      <c r="I29" s="1" t="s">
        <v>47</v>
      </c>
      <c r="J29" s="2">
        <v>4.87</v>
      </c>
    </row>
    <row r="30" spans="1:10" x14ac:dyDescent="0.2">
      <c r="A30" t="s">
        <v>14</v>
      </c>
      <c r="B30" s="12">
        <f>(8.38+5.89)/2</f>
        <v>7.1349999999999998</v>
      </c>
      <c r="C30" s="11">
        <v>2</v>
      </c>
      <c r="E30" t="s">
        <v>13</v>
      </c>
      <c r="F30" s="12">
        <f>(9.53+4.16+5.06)/3</f>
        <v>6.25</v>
      </c>
      <c r="G30" s="11">
        <v>3</v>
      </c>
      <c r="I30" s="1" t="s">
        <v>44</v>
      </c>
      <c r="J30" s="2">
        <v>4.18</v>
      </c>
    </row>
    <row r="31" spans="1:10" x14ac:dyDescent="0.2">
      <c r="A31" t="s">
        <v>12</v>
      </c>
      <c r="B31" s="13">
        <f>(5.58+3.52+1.25)/3</f>
        <v>3.4499999999999997</v>
      </c>
      <c r="C31" s="1">
        <v>3</v>
      </c>
      <c r="E31" t="s">
        <v>11</v>
      </c>
      <c r="F31" s="9">
        <v>5.63</v>
      </c>
      <c r="G31" s="1">
        <v>1</v>
      </c>
      <c r="I31" s="1" t="s">
        <v>41</v>
      </c>
      <c r="J31" s="2">
        <v>4.4800000000000004</v>
      </c>
    </row>
    <row r="32" spans="1:10" x14ac:dyDescent="0.2">
      <c r="A32" t="s">
        <v>10</v>
      </c>
      <c r="B32" s="13">
        <f>(3.89+0.05)/2</f>
        <v>1.97</v>
      </c>
      <c r="C32" s="1">
        <v>2</v>
      </c>
      <c r="E32" t="s">
        <v>9</v>
      </c>
      <c r="F32" s="9">
        <f>(2.64+0.84+3.25+1.38+2.11)/5</f>
        <v>2.0439999999999996</v>
      </c>
      <c r="G32" s="1">
        <v>5</v>
      </c>
      <c r="I32" s="1" t="s">
        <v>38</v>
      </c>
      <c r="J32" s="2">
        <v>1.73</v>
      </c>
    </row>
    <row r="33" spans="1:10" x14ac:dyDescent="0.2">
      <c r="A33" t="s">
        <v>8</v>
      </c>
      <c r="B33" s="12" t="s">
        <v>117</v>
      </c>
      <c r="C33" s="11">
        <v>0</v>
      </c>
      <c r="E33" t="s">
        <v>7</v>
      </c>
      <c r="F33" s="12">
        <f>(6.53+5.72)/2</f>
        <v>6.125</v>
      </c>
      <c r="G33" s="11">
        <v>2</v>
      </c>
      <c r="I33" s="1" t="s">
        <v>108</v>
      </c>
      <c r="J33" s="2">
        <v>4.34</v>
      </c>
    </row>
    <row r="34" spans="1:10" x14ac:dyDescent="0.2">
      <c r="A34" t="s">
        <v>6</v>
      </c>
      <c r="B34" s="12" t="s">
        <v>117</v>
      </c>
      <c r="C34" s="11">
        <v>0</v>
      </c>
      <c r="E34" t="s">
        <v>5</v>
      </c>
      <c r="F34" s="12">
        <v>2.9</v>
      </c>
      <c r="G34" s="11">
        <v>1</v>
      </c>
      <c r="I34" s="1" t="s">
        <v>109</v>
      </c>
      <c r="J34" s="2">
        <v>4.4000000000000004</v>
      </c>
    </row>
    <row r="35" spans="1:10" x14ac:dyDescent="0.2">
      <c r="A35" t="s">
        <v>4</v>
      </c>
      <c r="B35" s="13" t="s">
        <v>117</v>
      </c>
      <c r="C35" s="1">
        <v>0</v>
      </c>
      <c r="E35" t="s">
        <v>3</v>
      </c>
      <c r="F35" s="9">
        <f>(3.85+1.19)/2</f>
        <v>2.52</v>
      </c>
      <c r="G35" s="1">
        <v>2</v>
      </c>
      <c r="I35" s="1" t="s">
        <v>110</v>
      </c>
      <c r="J35" s="2">
        <v>4.67</v>
      </c>
    </row>
    <row r="36" spans="1:10" x14ac:dyDescent="0.2">
      <c r="A36" t="s">
        <v>2</v>
      </c>
      <c r="B36" s="13" t="s">
        <v>117</v>
      </c>
      <c r="C36" s="1">
        <v>0</v>
      </c>
      <c r="E36" t="s">
        <v>1</v>
      </c>
      <c r="F36" s="9">
        <f>(2.99+3.99)/2</f>
        <v>3.49</v>
      </c>
      <c r="G36" s="1">
        <v>2</v>
      </c>
      <c r="I36" s="1" t="s">
        <v>111</v>
      </c>
      <c r="J36" s="2">
        <v>4.08</v>
      </c>
    </row>
    <row r="37" spans="1:10" x14ac:dyDescent="0.2">
      <c r="A37" t="s">
        <v>0</v>
      </c>
      <c r="B37" s="12" t="s">
        <v>117</v>
      </c>
      <c r="C37" s="11">
        <v>0</v>
      </c>
      <c r="I37" s="1" t="s">
        <v>33</v>
      </c>
      <c r="J37" s="2">
        <v>3.95</v>
      </c>
    </row>
    <row r="38" spans="1:10" x14ac:dyDescent="0.2">
      <c r="I38" s="1" t="s">
        <v>30</v>
      </c>
      <c r="J38" s="2">
        <v>5.46</v>
      </c>
    </row>
    <row r="39" spans="1:10" x14ac:dyDescent="0.2">
      <c r="I39" s="1" t="s">
        <v>27</v>
      </c>
      <c r="J39" s="2">
        <v>3.82</v>
      </c>
    </row>
    <row r="40" spans="1:10" x14ac:dyDescent="0.2">
      <c r="I40" s="1" t="s">
        <v>24</v>
      </c>
      <c r="J40" s="2">
        <v>4.25</v>
      </c>
    </row>
    <row r="41" spans="1:10" x14ac:dyDescent="0.2">
      <c r="I41" s="1" t="s">
        <v>21</v>
      </c>
      <c r="J41" s="2">
        <v>5.22</v>
      </c>
    </row>
    <row r="42" spans="1:10" x14ac:dyDescent="0.2">
      <c r="I42" s="1" t="s">
        <v>113</v>
      </c>
      <c r="J42" s="2">
        <v>3.81</v>
      </c>
    </row>
    <row r="43" spans="1:10" x14ac:dyDescent="0.2">
      <c r="I43" s="1" t="s">
        <v>18</v>
      </c>
      <c r="J43" s="2">
        <v>4.53</v>
      </c>
    </row>
    <row r="44" spans="1:10" x14ac:dyDescent="0.2">
      <c r="I44" s="1" t="s">
        <v>112</v>
      </c>
      <c r="J44" s="2">
        <v>4.07</v>
      </c>
    </row>
    <row r="45" spans="1:10" x14ac:dyDescent="0.2">
      <c r="I45" s="1" t="s">
        <v>15</v>
      </c>
      <c r="J45" s="2">
        <v>4.22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5"/>
  <sheetViews>
    <sheetView workbookViewId="0">
      <selection activeCell="C7" sqref="C7"/>
    </sheetView>
  </sheetViews>
  <sheetFormatPr baseColWidth="10" defaultColWidth="8.83203125" defaultRowHeight="15" x14ac:dyDescent="0.2"/>
  <cols>
    <col min="1" max="1" width="13.5" customWidth="1"/>
    <col min="2" max="2" width="17" customWidth="1"/>
    <col min="3" max="3" width="13.832031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257" max="257" width="13.5" customWidth="1"/>
    <col min="258" max="258" width="17" customWidth="1"/>
    <col min="259" max="259" width="13.83203125" customWidth="1"/>
    <col min="261" max="261" width="13" customWidth="1"/>
    <col min="262" max="262" width="17.33203125" customWidth="1"/>
    <col min="263" max="263" width="12.5" customWidth="1"/>
    <col min="264" max="264" width="17" customWidth="1"/>
    <col min="265" max="265" width="13.5" customWidth="1"/>
    <col min="513" max="513" width="13.5" customWidth="1"/>
    <col min="514" max="514" width="17" customWidth="1"/>
    <col min="515" max="515" width="13.83203125" customWidth="1"/>
    <col min="517" max="517" width="13" customWidth="1"/>
    <col min="518" max="518" width="17.33203125" customWidth="1"/>
    <col min="519" max="519" width="12.5" customWidth="1"/>
    <col min="520" max="520" width="17" customWidth="1"/>
    <col min="521" max="521" width="13.5" customWidth="1"/>
    <col min="769" max="769" width="13.5" customWidth="1"/>
    <col min="770" max="770" width="17" customWidth="1"/>
    <col min="771" max="771" width="13.83203125" customWidth="1"/>
    <col min="773" max="773" width="13" customWidth="1"/>
    <col min="774" max="774" width="17.33203125" customWidth="1"/>
    <col min="775" max="775" width="12.5" customWidth="1"/>
    <col min="776" max="776" width="17" customWidth="1"/>
    <col min="777" max="777" width="13.5" customWidth="1"/>
    <col min="1025" max="1025" width="13.5" customWidth="1"/>
    <col min="1026" max="1026" width="17" customWidth="1"/>
    <col min="1027" max="1027" width="13.83203125" customWidth="1"/>
    <col min="1029" max="1029" width="13" customWidth="1"/>
    <col min="1030" max="1030" width="17.33203125" customWidth="1"/>
    <col min="1031" max="1031" width="12.5" customWidth="1"/>
    <col min="1032" max="1032" width="17" customWidth="1"/>
    <col min="1033" max="1033" width="13.5" customWidth="1"/>
    <col min="1281" max="1281" width="13.5" customWidth="1"/>
    <col min="1282" max="1282" width="17" customWidth="1"/>
    <col min="1283" max="1283" width="13.83203125" customWidth="1"/>
    <col min="1285" max="1285" width="13" customWidth="1"/>
    <col min="1286" max="1286" width="17.33203125" customWidth="1"/>
    <col min="1287" max="1287" width="12.5" customWidth="1"/>
    <col min="1288" max="1288" width="17" customWidth="1"/>
    <col min="1289" max="1289" width="13.5" customWidth="1"/>
    <col min="1537" max="1537" width="13.5" customWidth="1"/>
    <col min="1538" max="1538" width="17" customWidth="1"/>
    <col min="1539" max="1539" width="13.83203125" customWidth="1"/>
    <col min="1541" max="1541" width="13" customWidth="1"/>
    <col min="1542" max="1542" width="17.33203125" customWidth="1"/>
    <col min="1543" max="1543" width="12.5" customWidth="1"/>
    <col min="1544" max="1544" width="17" customWidth="1"/>
    <col min="1545" max="1545" width="13.5" customWidth="1"/>
    <col min="1793" max="1793" width="13.5" customWidth="1"/>
    <col min="1794" max="1794" width="17" customWidth="1"/>
    <col min="1795" max="1795" width="13.83203125" customWidth="1"/>
    <col min="1797" max="1797" width="13" customWidth="1"/>
    <col min="1798" max="1798" width="17.33203125" customWidth="1"/>
    <col min="1799" max="1799" width="12.5" customWidth="1"/>
    <col min="1800" max="1800" width="17" customWidth="1"/>
    <col min="1801" max="1801" width="13.5" customWidth="1"/>
    <col min="2049" max="2049" width="13.5" customWidth="1"/>
    <col min="2050" max="2050" width="17" customWidth="1"/>
    <col min="2051" max="2051" width="13.83203125" customWidth="1"/>
    <col min="2053" max="2053" width="13" customWidth="1"/>
    <col min="2054" max="2054" width="17.33203125" customWidth="1"/>
    <col min="2055" max="2055" width="12.5" customWidth="1"/>
    <col min="2056" max="2056" width="17" customWidth="1"/>
    <col min="2057" max="2057" width="13.5" customWidth="1"/>
    <col min="2305" max="2305" width="13.5" customWidth="1"/>
    <col min="2306" max="2306" width="17" customWidth="1"/>
    <col min="2307" max="2307" width="13.83203125" customWidth="1"/>
    <col min="2309" max="2309" width="13" customWidth="1"/>
    <col min="2310" max="2310" width="17.33203125" customWidth="1"/>
    <col min="2311" max="2311" width="12.5" customWidth="1"/>
    <col min="2312" max="2312" width="17" customWidth="1"/>
    <col min="2313" max="2313" width="13.5" customWidth="1"/>
    <col min="2561" max="2561" width="13.5" customWidth="1"/>
    <col min="2562" max="2562" width="17" customWidth="1"/>
    <col min="2563" max="2563" width="13.83203125" customWidth="1"/>
    <col min="2565" max="2565" width="13" customWidth="1"/>
    <col min="2566" max="2566" width="17.33203125" customWidth="1"/>
    <col min="2567" max="2567" width="12.5" customWidth="1"/>
    <col min="2568" max="2568" width="17" customWidth="1"/>
    <col min="2569" max="2569" width="13.5" customWidth="1"/>
    <col min="2817" max="2817" width="13.5" customWidth="1"/>
    <col min="2818" max="2818" width="17" customWidth="1"/>
    <col min="2819" max="2819" width="13.83203125" customWidth="1"/>
    <col min="2821" max="2821" width="13" customWidth="1"/>
    <col min="2822" max="2822" width="17.33203125" customWidth="1"/>
    <col min="2823" max="2823" width="12.5" customWidth="1"/>
    <col min="2824" max="2824" width="17" customWidth="1"/>
    <col min="2825" max="2825" width="13.5" customWidth="1"/>
    <col min="3073" max="3073" width="13.5" customWidth="1"/>
    <col min="3074" max="3074" width="17" customWidth="1"/>
    <col min="3075" max="3075" width="13.83203125" customWidth="1"/>
    <col min="3077" max="3077" width="13" customWidth="1"/>
    <col min="3078" max="3078" width="17.33203125" customWidth="1"/>
    <col min="3079" max="3079" width="12.5" customWidth="1"/>
    <col min="3080" max="3080" width="17" customWidth="1"/>
    <col min="3081" max="3081" width="13.5" customWidth="1"/>
    <col min="3329" max="3329" width="13.5" customWidth="1"/>
    <col min="3330" max="3330" width="17" customWidth="1"/>
    <col min="3331" max="3331" width="13.83203125" customWidth="1"/>
    <col min="3333" max="3333" width="13" customWidth="1"/>
    <col min="3334" max="3334" width="17.33203125" customWidth="1"/>
    <col min="3335" max="3335" width="12.5" customWidth="1"/>
    <col min="3336" max="3336" width="17" customWidth="1"/>
    <col min="3337" max="3337" width="13.5" customWidth="1"/>
    <col min="3585" max="3585" width="13.5" customWidth="1"/>
    <col min="3586" max="3586" width="17" customWidth="1"/>
    <col min="3587" max="3587" width="13.83203125" customWidth="1"/>
    <col min="3589" max="3589" width="13" customWidth="1"/>
    <col min="3590" max="3590" width="17.33203125" customWidth="1"/>
    <col min="3591" max="3591" width="12.5" customWidth="1"/>
    <col min="3592" max="3592" width="17" customWidth="1"/>
    <col min="3593" max="3593" width="13.5" customWidth="1"/>
    <col min="3841" max="3841" width="13.5" customWidth="1"/>
    <col min="3842" max="3842" width="17" customWidth="1"/>
    <col min="3843" max="3843" width="13.83203125" customWidth="1"/>
    <col min="3845" max="3845" width="13" customWidth="1"/>
    <col min="3846" max="3846" width="17.33203125" customWidth="1"/>
    <col min="3847" max="3847" width="12.5" customWidth="1"/>
    <col min="3848" max="3848" width="17" customWidth="1"/>
    <col min="3849" max="3849" width="13.5" customWidth="1"/>
    <col min="4097" max="4097" width="13.5" customWidth="1"/>
    <col min="4098" max="4098" width="17" customWidth="1"/>
    <col min="4099" max="4099" width="13.83203125" customWidth="1"/>
    <col min="4101" max="4101" width="13" customWidth="1"/>
    <col min="4102" max="4102" width="17.33203125" customWidth="1"/>
    <col min="4103" max="4103" width="12.5" customWidth="1"/>
    <col min="4104" max="4104" width="17" customWidth="1"/>
    <col min="4105" max="4105" width="13.5" customWidth="1"/>
    <col min="4353" max="4353" width="13.5" customWidth="1"/>
    <col min="4354" max="4354" width="17" customWidth="1"/>
    <col min="4355" max="4355" width="13.83203125" customWidth="1"/>
    <col min="4357" max="4357" width="13" customWidth="1"/>
    <col min="4358" max="4358" width="17.33203125" customWidth="1"/>
    <col min="4359" max="4359" width="12.5" customWidth="1"/>
    <col min="4360" max="4360" width="17" customWidth="1"/>
    <col min="4361" max="4361" width="13.5" customWidth="1"/>
    <col min="4609" max="4609" width="13.5" customWidth="1"/>
    <col min="4610" max="4610" width="17" customWidth="1"/>
    <col min="4611" max="4611" width="13.83203125" customWidth="1"/>
    <col min="4613" max="4613" width="13" customWidth="1"/>
    <col min="4614" max="4614" width="17.33203125" customWidth="1"/>
    <col min="4615" max="4615" width="12.5" customWidth="1"/>
    <col min="4616" max="4616" width="17" customWidth="1"/>
    <col min="4617" max="4617" width="13.5" customWidth="1"/>
    <col min="4865" max="4865" width="13.5" customWidth="1"/>
    <col min="4866" max="4866" width="17" customWidth="1"/>
    <col min="4867" max="4867" width="13.83203125" customWidth="1"/>
    <col min="4869" max="4869" width="13" customWidth="1"/>
    <col min="4870" max="4870" width="17.33203125" customWidth="1"/>
    <col min="4871" max="4871" width="12.5" customWidth="1"/>
    <col min="4872" max="4872" width="17" customWidth="1"/>
    <col min="4873" max="4873" width="13.5" customWidth="1"/>
    <col min="5121" max="5121" width="13.5" customWidth="1"/>
    <col min="5122" max="5122" width="17" customWidth="1"/>
    <col min="5123" max="5123" width="13.83203125" customWidth="1"/>
    <col min="5125" max="5125" width="13" customWidth="1"/>
    <col min="5126" max="5126" width="17.33203125" customWidth="1"/>
    <col min="5127" max="5127" width="12.5" customWidth="1"/>
    <col min="5128" max="5128" width="17" customWidth="1"/>
    <col min="5129" max="5129" width="13.5" customWidth="1"/>
    <col min="5377" max="5377" width="13.5" customWidth="1"/>
    <col min="5378" max="5378" width="17" customWidth="1"/>
    <col min="5379" max="5379" width="13.83203125" customWidth="1"/>
    <col min="5381" max="5381" width="13" customWidth="1"/>
    <col min="5382" max="5382" width="17.33203125" customWidth="1"/>
    <col min="5383" max="5383" width="12.5" customWidth="1"/>
    <col min="5384" max="5384" width="17" customWidth="1"/>
    <col min="5385" max="5385" width="13.5" customWidth="1"/>
    <col min="5633" max="5633" width="13.5" customWidth="1"/>
    <col min="5634" max="5634" width="17" customWidth="1"/>
    <col min="5635" max="5635" width="13.83203125" customWidth="1"/>
    <col min="5637" max="5637" width="13" customWidth="1"/>
    <col min="5638" max="5638" width="17.33203125" customWidth="1"/>
    <col min="5639" max="5639" width="12.5" customWidth="1"/>
    <col min="5640" max="5640" width="17" customWidth="1"/>
    <col min="5641" max="5641" width="13.5" customWidth="1"/>
    <col min="5889" max="5889" width="13.5" customWidth="1"/>
    <col min="5890" max="5890" width="17" customWidth="1"/>
    <col min="5891" max="5891" width="13.83203125" customWidth="1"/>
    <col min="5893" max="5893" width="13" customWidth="1"/>
    <col min="5894" max="5894" width="17.33203125" customWidth="1"/>
    <col min="5895" max="5895" width="12.5" customWidth="1"/>
    <col min="5896" max="5896" width="17" customWidth="1"/>
    <col min="5897" max="5897" width="13.5" customWidth="1"/>
    <col min="6145" max="6145" width="13.5" customWidth="1"/>
    <col min="6146" max="6146" width="17" customWidth="1"/>
    <col min="6147" max="6147" width="13.83203125" customWidth="1"/>
    <col min="6149" max="6149" width="13" customWidth="1"/>
    <col min="6150" max="6150" width="17.33203125" customWidth="1"/>
    <col min="6151" max="6151" width="12.5" customWidth="1"/>
    <col min="6152" max="6152" width="17" customWidth="1"/>
    <col min="6153" max="6153" width="13.5" customWidth="1"/>
    <col min="6401" max="6401" width="13.5" customWidth="1"/>
    <col min="6402" max="6402" width="17" customWidth="1"/>
    <col min="6403" max="6403" width="13.83203125" customWidth="1"/>
    <col min="6405" max="6405" width="13" customWidth="1"/>
    <col min="6406" max="6406" width="17.33203125" customWidth="1"/>
    <col min="6407" max="6407" width="12.5" customWidth="1"/>
    <col min="6408" max="6408" width="17" customWidth="1"/>
    <col min="6409" max="6409" width="13.5" customWidth="1"/>
    <col min="6657" max="6657" width="13.5" customWidth="1"/>
    <col min="6658" max="6658" width="17" customWidth="1"/>
    <col min="6659" max="6659" width="13.83203125" customWidth="1"/>
    <col min="6661" max="6661" width="13" customWidth="1"/>
    <col min="6662" max="6662" width="17.33203125" customWidth="1"/>
    <col min="6663" max="6663" width="12.5" customWidth="1"/>
    <col min="6664" max="6664" width="17" customWidth="1"/>
    <col min="6665" max="6665" width="13.5" customWidth="1"/>
    <col min="6913" max="6913" width="13.5" customWidth="1"/>
    <col min="6914" max="6914" width="17" customWidth="1"/>
    <col min="6915" max="6915" width="13.83203125" customWidth="1"/>
    <col min="6917" max="6917" width="13" customWidth="1"/>
    <col min="6918" max="6918" width="17.33203125" customWidth="1"/>
    <col min="6919" max="6919" width="12.5" customWidth="1"/>
    <col min="6920" max="6920" width="17" customWidth="1"/>
    <col min="6921" max="6921" width="13.5" customWidth="1"/>
    <col min="7169" max="7169" width="13.5" customWidth="1"/>
    <col min="7170" max="7170" width="17" customWidth="1"/>
    <col min="7171" max="7171" width="13.83203125" customWidth="1"/>
    <col min="7173" max="7173" width="13" customWidth="1"/>
    <col min="7174" max="7174" width="17.33203125" customWidth="1"/>
    <col min="7175" max="7175" width="12.5" customWidth="1"/>
    <col min="7176" max="7176" width="17" customWidth="1"/>
    <col min="7177" max="7177" width="13.5" customWidth="1"/>
    <col min="7425" max="7425" width="13.5" customWidth="1"/>
    <col min="7426" max="7426" width="17" customWidth="1"/>
    <col min="7427" max="7427" width="13.83203125" customWidth="1"/>
    <col min="7429" max="7429" width="13" customWidth="1"/>
    <col min="7430" max="7430" width="17.33203125" customWidth="1"/>
    <col min="7431" max="7431" width="12.5" customWidth="1"/>
    <col min="7432" max="7432" width="17" customWidth="1"/>
    <col min="7433" max="7433" width="13.5" customWidth="1"/>
    <col min="7681" max="7681" width="13.5" customWidth="1"/>
    <col min="7682" max="7682" width="17" customWidth="1"/>
    <col min="7683" max="7683" width="13.83203125" customWidth="1"/>
    <col min="7685" max="7685" width="13" customWidth="1"/>
    <col min="7686" max="7686" width="17.33203125" customWidth="1"/>
    <col min="7687" max="7687" width="12.5" customWidth="1"/>
    <col min="7688" max="7688" width="17" customWidth="1"/>
    <col min="7689" max="7689" width="13.5" customWidth="1"/>
    <col min="7937" max="7937" width="13.5" customWidth="1"/>
    <col min="7938" max="7938" width="17" customWidth="1"/>
    <col min="7939" max="7939" width="13.83203125" customWidth="1"/>
    <col min="7941" max="7941" width="13" customWidth="1"/>
    <col min="7942" max="7942" width="17.33203125" customWidth="1"/>
    <col min="7943" max="7943" width="12.5" customWidth="1"/>
    <col min="7944" max="7944" width="17" customWidth="1"/>
    <col min="7945" max="7945" width="13.5" customWidth="1"/>
    <col min="8193" max="8193" width="13.5" customWidth="1"/>
    <col min="8194" max="8194" width="17" customWidth="1"/>
    <col min="8195" max="8195" width="13.83203125" customWidth="1"/>
    <col min="8197" max="8197" width="13" customWidth="1"/>
    <col min="8198" max="8198" width="17.33203125" customWidth="1"/>
    <col min="8199" max="8199" width="12.5" customWidth="1"/>
    <col min="8200" max="8200" width="17" customWidth="1"/>
    <col min="8201" max="8201" width="13.5" customWidth="1"/>
    <col min="8449" max="8449" width="13.5" customWidth="1"/>
    <col min="8450" max="8450" width="17" customWidth="1"/>
    <col min="8451" max="8451" width="13.83203125" customWidth="1"/>
    <col min="8453" max="8453" width="13" customWidth="1"/>
    <col min="8454" max="8454" width="17.33203125" customWidth="1"/>
    <col min="8455" max="8455" width="12.5" customWidth="1"/>
    <col min="8456" max="8456" width="17" customWidth="1"/>
    <col min="8457" max="8457" width="13.5" customWidth="1"/>
    <col min="8705" max="8705" width="13.5" customWidth="1"/>
    <col min="8706" max="8706" width="17" customWidth="1"/>
    <col min="8707" max="8707" width="13.83203125" customWidth="1"/>
    <col min="8709" max="8709" width="13" customWidth="1"/>
    <col min="8710" max="8710" width="17.33203125" customWidth="1"/>
    <col min="8711" max="8711" width="12.5" customWidth="1"/>
    <col min="8712" max="8712" width="17" customWidth="1"/>
    <col min="8713" max="8713" width="13.5" customWidth="1"/>
    <col min="8961" max="8961" width="13.5" customWidth="1"/>
    <col min="8962" max="8962" width="17" customWidth="1"/>
    <col min="8963" max="8963" width="13.83203125" customWidth="1"/>
    <col min="8965" max="8965" width="13" customWidth="1"/>
    <col min="8966" max="8966" width="17.33203125" customWidth="1"/>
    <col min="8967" max="8967" width="12.5" customWidth="1"/>
    <col min="8968" max="8968" width="17" customWidth="1"/>
    <col min="8969" max="8969" width="13.5" customWidth="1"/>
    <col min="9217" max="9217" width="13.5" customWidth="1"/>
    <col min="9218" max="9218" width="17" customWidth="1"/>
    <col min="9219" max="9219" width="13.83203125" customWidth="1"/>
    <col min="9221" max="9221" width="13" customWidth="1"/>
    <col min="9222" max="9222" width="17.33203125" customWidth="1"/>
    <col min="9223" max="9223" width="12.5" customWidth="1"/>
    <col min="9224" max="9224" width="17" customWidth="1"/>
    <col min="9225" max="9225" width="13.5" customWidth="1"/>
    <col min="9473" max="9473" width="13.5" customWidth="1"/>
    <col min="9474" max="9474" width="17" customWidth="1"/>
    <col min="9475" max="9475" width="13.83203125" customWidth="1"/>
    <col min="9477" max="9477" width="13" customWidth="1"/>
    <col min="9478" max="9478" width="17.33203125" customWidth="1"/>
    <col min="9479" max="9479" width="12.5" customWidth="1"/>
    <col min="9480" max="9480" width="17" customWidth="1"/>
    <col min="9481" max="9481" width="13.5" customWidth="1"/>
    <col min="9729" max="9729" width="13.5" customWidth="1"/>
    <col min="9730" max="9730" width="17" customWidth="1"/>
    <col min="9731" max="9731" width="13.83203125" customWidth="1"/>
    <col min="9733" max="9733" width="13" customWidth="1"/>
    <col min="9734" max="9734" width="17.33203125" customWidth="1"/>
    <col min="9735" max="9735" width="12.5" customWidth="1"/>
    <col min="9736" max="9736" width="17" customWidth="1"/>
    <col min="9737" max="9737" width="13.5" customWidth="1"/>
    <col min="9985" max="9985" width="13.5" customWidth="1"/>
    <col min="9986" max="9986" width="17" customWidth="1"/>
    <col min="9987" max="9987" width="13.83203125" customWidth="1"/>
    <col min="9989" max="9989" width="13" customWidth="1"/>
    <col min="9990" max="9990" width="17.33203125" customWidth="1"/>
    <col min="9991" max="9991" width="12.5" customWidth="1"/>
    <col min="9992" max="9992" width="17" customWidth="1"/>
    <col min="9993" max="9993" width="13.5" customWidth="1"/>
    <col min="10241" max="10241" width="13.5" customWidth="1"/>
    <col min="10242" max="10242" width="17" customWidth="1"/>
    <col min="10243" max="10243" width="13.83203125" customWidth="1"/>
    <col min="10245" max="10245" width="13" customWidth="1"/>
    <col min="10246" max="10246" width="17.33203125" customWidth="1"/>
    <col min="10247" max="10247" width="12.5" customWidth="1"/>
    <col min="10248" max="10248" width="17" customWidth="1"/>
    <col min="10249" max="10249" width="13.5" customWidth="1"/>
    <col min="10497" max="10497" width="13.5" customWidth="1"/>
    <col min="10498" max="10498" width="17" customWidth="1"/>
    <col min="10499" max="10499" width="13.83203125" customWidth="1"/>
    <col min="10501" max="10501" width="13" customWidth="1"/>
    <col min="10502" max="10502" width="17.33203125" customWidth="1"/>
    <col min="10503" max="10503" width="12.5" customWidth="1"/>
    <col min="10504" max="10504" width="17" customWidth="1"/>
    <col min="10505" max="10505" width="13.5" customWidth="1"/>
    <col min="10753" max="10753" width="13.5" customWidth="1"/>
    <col min="10754" max="10754" width="17" customWidth="1"/>
    <col min="10755" max="10755" width="13.83203125" customWidth="1"/>
    <col min="10757" max="10757" width="13" customWidth="1"/>
    <col min="10758" max="10758" width="17.33203125" customWidth="1"/>
    <col min="10759" max="10759" width="12.5" customWidth="1"/>
    <col min="10760" max="10760" width="17" customWidth="1"/>
    <col min="10761" max="10761" width="13.5" customWidth="1"/>
    <col min="11009" max="11009" width="13.5" customWidth="1"/>
    <col min="11010" max="11010" width="17" customWidth="1"/>
    <col min="11011" max="11011" width="13.83203125" customWidth="1"/>
    <col min="11013" max="11013" width="13" customWidth="1"/>
    <col min="11014" max="11014" width="17.33203125" customWidth="1"/>
    <col min="11015" max="11015" width="12.5" customWidth="1"/>
    <col min="11016" max="11016" width="17" customWidth="1"/>
    <col min="11017" max="11017" width="13.5" customWidth="1"/>
    <col min="11265" max="11265" width="13.5" customWidth="1"/>
    <col min="11266" max="11266" width="17" customWidth="1"/>
    <col min="11267" max="11267" width="13.83203125" customWidth="1"/>
    <col min="11269" max="11269" width="13" customWidth="1"/>
    <col min="11270" max="11270" width="17.33203125" customWidth="1"/>
    <col min="11271" max="11271" width="12.5" customWidth="1"/>
    <col min="11272" max="11272" width="17" customWidth="1"/>
    <col min="11273" max="11273" width="13.5" customWidth="1"/>
    <col min="11521" max="11521" width="13.5" customWidth="1"/>
    <col min="11522" max="11522" width="17" customWidth="1"/>
    <col min="11523" max="11523" width="13.83203125" customWidth="1"/>
    <col min="11525" max="11525" width="13" customWidth="1"/>
    <col min="11526" max="11526" width="17.33203125" customWidth="1"/>
    <col min="11527" max="11527" width="12.5" customWidth="1"/>
    <col min="11528" max="11528" width="17" customWidth="1"/>
    <col min="11529" max="11529" width="13.5" customWidth="1"/>
    <col min="11777" max="11777" width="13.5" customWidth="1"/>
    <col min="11778" max="11778" width="17" customWidth="1"/>
    <col min="11779" max="11779" width="13.83203125" customWidth="1"/>
    <col min="11781" max="11781" width="13" customWidth="1"/>
    <col min="11782" max="11782" width="17.33203125" customWidth="1"/>
    <col min="11783" max="11783" width="12.5" customWidth="1"/>
    <col min="11784" max="11784" width="17" customWidth="1"/>
    <col min="11785" max="11785" width="13.5" customWidth="1"/>
    <col min="12033" max="12033" width="13.5" customWidth="1"/>
    <col min="12034" max="12034" width="17" customWidth="1"/>
    <col min="12035" max="12035" width="13.83203125" customWidth="1"/>
    <col min="12037" max="12037" width="13" customWidth="1"/>
    <col min="12038" max="12038" width="17.33203125" customWidth="1"/>
    <col min="12039" max="12039" width="12.5" customWidth="1"/>
    <col min="12040" max="12040" width="17" customWidth="1"/>
    <col min="12041" max="12041" width="13.5" customWidth="1"/>
    <col min="12289" max="12289" width="13.5" customWidth="1"/>
    <col min="12290" max="12290" width="17" customWidth="1"/>
    <col min="12291" max="12291" width="13.83203125" customWidth="1"/>
    <col min="12293" max="12293" width="13" customWidth="1"/>
    <col min="12294" max="12294" width="17.33203125" customWidth="1"/>
    <col min="12295" max="12295" width="12.5" customWidth="1"/>
    <col min="12296" max="12296" width="17" customWidth="1"/>
    <col min="12297" max="12297" width="13.5" customWidth="1"/>
    <col min="12545" max="12545" width="13.5" customWidth="1"/>
    <col min="12546" max="12546" width="17" customWidth="1"/>
    <col min="12547" max="12547" width="13.83203125" customWidth="1"/>
    <col min="12549" max="12549" width="13" customWidth="1"/>
    <col min="12550" max="12550" width="17.33203125" customWidth="1"/>
    <col min="12551" max="12551" width="12.5" customWidth="1"/>
    <col min="12552" max="12552" width="17" customWidth="1"/>
    <col min="12553" max="12553" width="13.5" customWidth="1"/>
    <col min="12801" max="12801" width="13.5" customWidth="1"/>
    <col min="12802" max="12802" width="17" customWidth="1"/>
    <col min="12803" max="12803" width="13.83203125" customWidth="1"/>
    <col min="12805" max="12805" width="13" customWidth="1"/>
    <col min="12806" max="12806" width="17.33203125" customWidth="1"/>
    <col min="12807" max="12807" width="12.5" customWidth="1"/>
    <col min="12808" max="12808" width="17" customWidth="1"/>
    <col min="12809" max="12809" width="13.5" customWidth="1"/>
    <col min="13057" max="13057" width="13.5" customWidth="1"/>
    <col min="13058" max="13058" width="17" customWidth="1"/>
    <col min="13059" max="13059" width="13.83203125" customWidth="1"/>
    <col min="13061" max="13061" width="13" customWidth="1"/>
    <col min="13062" max="13062" width="17.33203125" customWidth="1"/>
    <col min="13063" max="13063" width="12.5" customWidth="1"/>
    <col min="13064" max="13064" width="17" customWidth="1"/>
    <col min="13065" max="13065" width="13.5" customWidth="1"/>
    <col min="13313" max="13313" width="13.5" customWidth="1"/>
    <col min="13314" max="13314" width="17" customWidth="1"/>
    <col min="13315" max="13315" width="13.83203125" customWidth="1"/>
    <col min="13317" max="13317" width="13" customWidth="1"/>
    <col min="13318" max="13318" width="17.33203125" customWidth="1"/>
    <col min="13319" max="13319" width="12.5" customWidth="1"/>
    <col min="13320" max="13320" width="17" customWidth="1"/>
    <col min="13321" max="13321" width="13.5" customWidth="1"/>
    <col min="13569" max="13569" width="13.5" customWidth="1"/>
    <col min="13570" max="13570" width="17" customWidth="1"/>
    <col min="13571" max="13571" width="13.83203125" customWidth="1"/>
    <col min="13573" max="13573" width="13" customWidth="1"/>
    <col min="13574" max="13574" width="17.33203125" customWidth="1"/>
    <col min="13575" max="13575" width="12.5" customWidth="1"/>
    <col min="13576" max="13576" width="17" customWidth="1"/>
    <col min="13577" max="13577" width="13.5" customWidth="1"/>
    <col min="13825" max="13825" width="13.5" customWidth="1"/>
    <col min="13826" max="13826" width="17" customWidth="1"/>
    <col min="13827" max="13827" width="13.83203125" customWidth="1"/>
    <col min="13829" max="13829" width="13" customWidth="1"/>
    <col min="13830" max="13830" width="17.33203125" customWidth="1"/>
    <col min="13831" max="13831" width="12.5" customWidth="1"/>
    <col min="13832" max="13832" width="17" customWidth="1"/>
    <col min="13833" max="13833" width="13.5" customWidth="1"/>
    <col min="14081" max="14081" width="13.5" customWidth="1"/>
    <col min="14082" max="14082" width="17" customWidth="1"/>
    <col min="14083" max="14083" width="13.83203125" customWidth="1"/>
    <col min="14085" max="14085" width="13" customWidth="1"/>
    <col min="14086" max="14086" width="17.33203125" customWidth="1"/>
    <col min="14087" max="14087" width="12.5" customWidth="1"/>
    <col min="14088" max="14088" width="17" customWidth="1"/>
    <col min="14089" max="14089" width="13.5" customWidth="1"/>
    <col min="14337" max="14337" width="13.5" customWidth="1"/>
    <col min="14338" max="14338" width="17" customWidth="1"/>
    <col min="14339" max="14339" width="13.83203125" customWidth="1"/>
    <col min="14341" max="14341" width="13" customWidth="1"/>
    <col min="14342" max="14342" width="17.33203125" customWidth="1"/>
    <col min="14343" max="14343" width="12.5" customWidth="1"/>
    <col min="14344" max="14344" width="17" customWidth="1"/>
    <col min="14345" max="14345" width="13.5" customWidth="1"/>
    <col min="14593" max="14593" width="13.5" customWidth="1"/>
    <col min="14594" max="14594" width="17" customWidth="1"/>
    <col min="14595" max="14595" width="13.83203125" customWidth="1"/>
    <col min="14597" max="14597" width="13" customWidth="1"/>
    <col min="14598" max="14598" width="17.33203125" customWidth="1"/>
    <col min="14599" max="14599" width="12.5" customWidth="1"/>
    <col min="14600" max="14600" width="17" customWidth="1"/>
    <col min="14601" max="14601" width="13.5" customWidth="1"/>
    <col min="14849" max="14849" width="13.5" customWidth="1"/>
    <col min="14850" max="14850" width="17" customWidth="1"/>
    <col min="14851" max="14851" width="13.83203125" customWidth="1"/>
    <col min="14853" max="14853" width="13" customWidth="1"/>
    <col min="14854" max="14854" width="17.33203125" customWidth="1"/>
    <col min="14855" max="14855" width="12.5" customWidth="1"/>
    <col min="14856" max="14856" width="17" customWidth="1"/>
    <col min="14857" max="14857" width="13.5" customWidth="1"/>
    <col min="15105" max="15105" width="13.5" customWidth="1"/>
    <col min="15106" max="15106" width="17" customWidth="1"/>
    <col min="15107" max="15107" width="13.83203125" customWidth="1"/>
    <col min="15109" max="15109" width="13" customWidth="1"/>
    <col min="15110" max="15110" width="17.33203125" customWidth="1"/>
    <col min="15111" max="15111" width="12.5" customWidth="1"/>
    <col min="15112" max="15112" width="17" customWidth="1"/>
    <col min="15113" max="15113" width="13.5" customWidth="1"/>
    <col min="15361" max="15361" width="13.5" customWidth="1"/>
    <col min="15362" max="15362" width="17" customWidth="1"/>
    <col min="15363" max="15363" width="13.83203125" customWidth="1"/>
    <col min="15365" max="15365" width="13" customWidth="1"/>
    <col min="15366" max="15366" width="17.33203125" customWidth="1"/>
    <col min="15367" max="15367" width="12.5" customWidth="1"/>
    <col min="15368" max="15368" width="17" customWidth="1"/>
    <col min="15369" max="15369" width="13.5" customWidth="1"/>
    <col min="15617" max="15617" width="13.5" customWidth="1"/>
    <col min="15618" max="15618" width="17" customWidth="1"/>
    <col min="15619" max="15619" width="13.83203125" customWidth="1"/>
    <col min="15621" max="15621" width="13" customWidth="1"/>
    <col min="15622" max="15622" width="17.33203125" customWidth="1"/>
    <col min="15623" max="15623" width="12.5" customWidth="1"/>
    <col min="15624" max="15624" width="17" customWidth="1"/>
    <col min="15625" max="15625" width="13.5" customWidth="1"/>
    <col min="15873" max="15873" width="13.5" customWidth="1"/>
    <col min="15874" max="15874" width="17" customWidth="1"/>
    <col min="15875" max="15875" width="13.83203125" customWidth="1"/>
    <col min="15877" max="15877" width="13" customWidth="1"/>
    <col min="15878" max="15878" width="17.33203125" customWidth="1"/>
    <col min="15879" max="15879" width="12.5" customWidth="1"/>
    <col min="15880" max="15880" width="17" customWidth="1"/>
    <col min="15881" max="15881" width="13.5" customWidth="1"/>
    <col min="16129" max="16129" width="13.5" customWidth="1"/>
    <col min="16130" max="16130" width="17" customWidth="1"/>
    <col min="16131" max="16131" width="13.83203125" customWidth="1"/>
    <col min="16133" max="16133" width="13" customWidth="1"/>
    <col min="16134" max="16134" width="17.33203125" customWidth="1"/>
    <col min="16135" max="16135" width="12.5" customWidth="1"/>
    <col min="16136" max="16136" width="17" customWidth="1"/>
    <col min="16137" max="16137" width="13.5" customWidth="1"/>
  </cols>
  <sheetData>
    <row r="1" spans="1:10" x14ac:dyDescent="0.2">
      <c r="A1" s="28" t="s">
        <v>88</v>
      </c>
      <c r="B1" s="28"/>
      <c r="C1" s="28"/>
      <c r="D1" s="28"/>
      <c r="E1" s="28"/>
      <c r="F1" s="28"/>
      <c r="G1" s="28"/>
      <c r="H1" s="28"/>
    </row>
    <row r="2" spans="1:10" x14ac:dyDescent="0.2">
      <c r="A2" s="29" t="s">
        <v>130</v>
      </c>
      <c r="B2" s="29"/>
      <c r="C2" s="29"/>
      <c r="D2" s="29"/>
      <c r="E2" s="29"/>
      <c r="F2" s="29"/>
      <c r="G2" s="29"/>
      <c r="H2" s="29"/>
    </row>
    <row r="3" spans="1:10" ht="32" x14ac:dyDescent="0.2">
      <c r="B3" s="5" t="s">
        <v>87</v>
      </c>
      <c r="C3" s="4" t="s">
        <v>86</v>
      </c>
      <c r="F3" s="5" t="s">
        <v>87</v>
      </c>
      <c r="G3" s="4" t="s">
        <v>86</v>
      </c>
      <c r="I3" s="3" t="s">
        <v>118</v>
      </c>
    </row>
    <row r="4" spans="1:10" x14ac:dyDescent="0.2">
      <c r="A4" t="s">
        <v>85</v>
      </c>
      <c r="B4" s="13">
        <v>6.5</v>
      </c>
      <c r="C4" s="14">
        <v>1</v>
      </c>
      <c r="E4" t="s">
        <v>84</v>
      </c>
      <c r="F4" s="9">
        <f>(5.49+7.13)/2</f>
        <v>6.3100000000000005</v>
      </c>
      <c r="G4" s="14">
        <v>2</v>
      </c>
      <c r="I4" s="1" t="s">
        <v>83</v>
      </c>
      <c r="J4" s="2">
        <v>5.94</v>
      </c>
    </row>
    <row r="5" spans="1:10" x14ac:dyDescent="0.2">
      <c r="A5" t="s">
        <v>82</v>
      </c>
      <c r="B5" s="12">
        <f>(14.92+16.78+9.54+16.81+15.35+15.15+14.39+13.13+13.19+13.86+16.37+10.77+11.53+16.49+20.45+15.46+10.27+11.01+12.31+12.82+12.82+12.7+11.04+10.24+15.54+17.39+16.58+14.16+11.44+12.23+14.82+12.88+13.53+17.72)/34</f>
        <v>13.932058823529413</v>
      </c>
      <c r="C5" s="16">
        <v>34</v>
      </c>
      <c r="E5" t="s">
        <v>81</v>
      </c>
      <c r="F5" s="12">
        <f>(4.18+5.76+5.71+4.3+5.67+3.63)/6</f>
        <v>4.8749999999999991</v>
      </c>
      <c r="G5" s="16">
        <v>6</v>
      </c>
      <c r="I5" s="1" t="s">
        <v>94</v>
      </c>
      <c r="J5" s="2">
        <v>4.95</v>
      </c>
    </row>
    <row r="6" spans="1:10" x14ac:dyDescent="0.2">
      <c r="A6" t="s">
        <v>79</v>
      </c>
      <c r="B6" s="12">
        <v>5.09</v>
      </c>
      <c r="C6" s="16">
        <v>1</v>
      </c>
      <c r="E6" t="s">
        <v>78</v>
      </c>
      <c r="F6" s="12">
        <f>(5.55+4.94+8.23+6.62+4.47+6.05+2.91+5.38+8.7+0+5.31+1.72+5.76+7.05+7.03+5.59+8.89+6.55+4.54)/19</f>
        <v>5.5415789473684214</v>
      </c>
      <c r="G6" s="16">
        <v>19</v>
      </c>
      <c r="I6" s="1" t="s">
        <v>80</v>
      </c>
      <c r="J6" s="2">
        <v>5.31</v>
      </c>
    </row>
    <row r="7" spans="1:10" x14ac:dyDescent="0.2">
      <c r="A7" t="s">
        <v>76</v>
      </c>
      <c r="B7" s="13" t="s">
        <v>117</v>
      </c>
      <c r="C7" s="14">
        <v>0</v>
      </c>
      <c r="E7" t="s">
        <v>75</v>
      </c>
      <c r="F7" s="9">
        <v>7.78</v>
      </c>
      <c r="G7" s="14">
        <v>1</v>
      </c>
      <c r="I7" s="1" t="s">
        <v>77</v>
      </c>
      <c r="J7" s="2">
        <v>4.99</v>
      </c>
    </row>
    <row r="8" spans="1:10" x14ac:dyDescent="0.2">
      <c r="A8" t="s">
        <v>73</v>
      </c>
      <c r="B8" s="13">
        <f>(6.94+3.82+4.29+5.33)/4</f>
        <v>5.0950000000000006</v>
      </c>
      <c r="C8" s="14">
        <v>4</v>
      </c>
      <c r="E8" t="s">
        <v>72</v>
      </c>
      <c r="F8" s="9">
        <f>(5.84+4.6+4.13+4.7+2.35+4.66+0+4.27+4.58+3.22)/10</f>
        <v>3.835</v>
      </c>
      <c r="G8" s="14">
        <v>10</v>
      </c>
      <c r="I8" s="1" t="s">
        <v>95</v>
      </c>
      <c r="J8" s="2">
        <v>5.3</v>
      </c>
    </row>
    <row r="9" spans="1:10" x14ac:dyDescent="0.2">
      <c r="A9" t="s">
        <v>71</v>
      </c>
      <c r="B9" s="12" t="s">
        <v>117</v>
      </c>
      <c r="C9" s="16">
        <v>0</v>
      </c>
      <c r="E9" t="s">
        <v>70</v>
      </c>
      <c r="F9" s="12">
        <f>(5.07+1.58+4.4+4.96)/4</f>
        <v>4.0025000000000004</v>
      </c>
      <c r="G9" s="16">
        <v>4</v>
      </c>
      <c r="I9" s="1" t="s">
        <v>96</v>
      </c>
      <c r="J9" s="2">
        <v>5.1100000000000003</v>
      </c>
    </row>
    <row r="10" spans="1:10" x14ac:dyDescent="0.2">
      <c r="A10" t="s">
        <v>69</v>
      </c>
      <c r="B10" s="12">
        <v>5.13</v>
      </c>
      <c r="C10" s="16">
        <v>1</v>
      </c>
      <c r="E10" t="s">
        <v>68</v>
      </c>
      <c r="F10" s="12">
        <f>(5.51+5.88+5.19+0.67+10.58+6.12)/6</f>
        <v>5.6583333333333341</v>
      </c>
      <c r="G10" s="16">
        <v>6</v>
      </c>
      <c r="I10" s="1" t="s">
        <v>97</v>
      </c>
      <c r="J10" s="2">
        <v>4.33</v>
      </c>
    </row>
    <row r="11" spans="1:10" x14ac:dyDescent="0.2">
      <c r="A11" t="s">
        <v>66</v>
      </c>
      <c r="B11" s="13">
        <f>(5.99+6.04)/2</f>
        <v>6.0150000000000006</v>
      </c>
      <c r="C11" s="14">
        <v>2</v>
      </c>
      <c r="E11" t="s">
        <v>65</v>
      </c>
      <c r="F11" s="9">
        <f>(5.23+6.86+4.1+4.04+4.49+0.06+7.11+3.86+6.92+4.63)/10</f>
        <v>4.7300000000000004</v>
      </c>
      <c r="G11" s="14">
        <v>10</v>
      </c>
      <c r="I11" s="1" t="s">
        <v>74</v>
      </c>
      <c r="J11" s="2">
        <v>8.14</v>
      </c>
    </row>
    <row r="12" spans="1:10" x14ac:dyDescent="0.2">
      <c r="A12" t="s">
        <v>63</v>
      </c>
      <c r="B12" s="13" t="s">
        <v>117</v>
      </c>
      <c r="C12" s="14">
        <v>0</v>
      </c>
      <c r="E12" t="s">
        <v>62</v>
      </c>
      <c r="F12" s="9" t="s">
        <v>117</v>
      </c>
      <c r="G12" s="14">
        <v>0</v>
      </c>
      <c r="I12" s="1" t="s">
        <v>98</v>
      </c>
      <c r="J12" s="2">
        <v>5.07</v>
      </c>
    </row>
    <row r="13" spans="1:10" x14ac:dyDescent="0.2">
      <c r="A13" t="s">
        <v>61</v>
      </c>
      <c r="B13" s="12" t="s">
        <v>117</v>
      </c>
      <c r="C13" s="16">
        <v>0</v>
      </c>
      <c r="E13" t="s">
        <v>60</v>
      </c>
      <c r="F13" s="12" t="s">
        <v>117</v>
      </c>
      <c r="G13" s="16">
        <v>0</v>
      </c>
      <c r="I13" s="1" t="s">
        <v>99</v>
      </c>
      <c r="J13" s="2">
        <v>5.52</v>
      </c>
    </row>
    <row r="14" spans="1:10" x14ac:dyDescent="0.2">
      <c r="A14" t="s">
        <v>59</v>
      </c>
      <c r="B14" s="12">
        <v>4.75</v>
      </c>
      <c r="C14" s="16">
        <v>1</v>
      </c>
      <c r="E14" t="s">
        <v>58</v>
      </c>
      <c r="F14" s="12">
        <f>(3.09+2.69+4.77+2.12+3.3+1.95+5.25+7.04+5.88+4.89+6.15+5.56+6.5+2.45+5.31+3.59+2.91+3.75+5.77+5.45+1.37)/21</f>
        <v>4.2757142857142858</v>
      </c>
      <c r="G14" s="16">
        <v>21</v>
      </c>
      <c r="I14" s="1" t="s">
        <v>100</v>
      </c>
      <c r="J14" s="2">
        <v>5.0599999999999996</v>
      </c>
    </row>
    <row r="15" spans="1:10" x14ac:dyDescent="0.2">
      <c r="A15" t="s">
        <v>57</v>
      </c>
      <c r="B15" s="13">
        <v>10.48</v>
      </c>
      <c r="C15" s="14">
        <v>1</v>
      </c>
      <c r="E15" t="s">
        <v>56</v>
      </c>
      <c r="F15" s="9" t="s">
        <v>117</v>
      </c>
      <c r="G15" s="14">
        <v>0</v>
      </c>
      <c r="I15" s="1" t="s">
        <v>101</v>
      </c>
      <c r="J15" s="2">
        <v>6</v>
      </c>
    </row>
    <row r="16" spans="1:10" x14ac:dyDescent="0.2">
      <c r="A16" t="s">
        <v>54</v>
      </c>
      <c r="B16" s="13">
        <f>(5.69+8.02+4.06)/3</f>
        <v>5.9233333333333329</v>
      </c>
      <c r="C16" s="14">
        <v>3</v>
      </c>
      <c r="E16" t="s">
        <v>53</v>
      </c>
      <c r="F16" s="9">
        <v>7.39</v>
      </c>
      <c r="G16" s="14">
        <v>1</v>
      </c>
      <c r="I16" s="1" t="s">
        <v>102</v>
      </c>
      <c r="J16" s="2">
        <v>4.5599999999999996</v>
      </c>
    </row>
    <row r="17" spans="1:10" x14ac:dyDescent="0.2">
      <c r="A17" t="s">
        <v>52</v>
      </c>
      <c r="B17" s="12">
        <v>4.74</v>
      </c>
      <c r="C17" s="16">
        <v>1</v>
      </c>
      <c r="E17" t="s">
        <v>51</v>
      </c>
      <c r="F17" s="12">
        <f>(7.34+7.1+6.97+7.44+3.22+4.34+6.01+4.61+5.84+3.8+0.2)/11</f>
        <v>5.169999999999999</v>
      </c>
      <c r="G17" s="16">
        <v>11</v>
      </c>
      <c r="I17" s="1" t="s">
        <v>103</v>
      </c>
      <c r="J17" s="2">
        <v>5.91</v>
      </c>
    </row>
    <row r="18" spans="1:10" x14ac:dyDescent="0.2">
      <c r="A18" t="s">
        <v>49</v>
      </c>
      <c r="B18" s="12" t="s">
        <v>117</v>
      </c>
      <c r="C18" s="16">
        <v>0</v>
      </c>
      <c r="E18" t="s">
        <v>48</v>
      </c>
      <c r="F18" s="12">
        <f>(9.55+11.55+8.51+12.37+10.57+14.32+11.05+12.58+9.3+11.7+10.15+9.7+19.05+10.13+12.2+9.96+11.5+9.15+7+12.19+7.31+3.98)/22</f>
        <v>10.628181818181817</v>
      </c>
      <c r="G18" s="16">
        <v>22</v>
      </c>
      <c r="I18" s="1" t="s">
        <v>67</v>
      </c>
      <c r="J18" s="2">
        <v>6.23</v>
      </c>
    </row>
    <row r="19" spans="1:10" x14ac:dyDescent="0.2">
      <c r="A19" t="s">
        <v>46</v>
      </c>
      <c r="B19" s="13" t="s">
        <v>117</v>
      </c>
      <c r="C19" s="14">
        <v>0</v>
      </c>
      <c r="E19" t="s">
        <v>45</v>
      </c>
      <c r="F19" s="9">
        <f>(5.49+7.15+3.81)/3</f>
        <v>5.4833333333333334</v>
      </c>
      <c r="G19" s="14">
        <v>3</v>
      </c>
      <c r="I19" s="1" t="s">
        <v>64</v>
      </c>
      <c r="J19" s="2">
        <v>5.96</v>
      </c>
    </row>
    <row r="20" spans="1:10" x14ac:dyDescent="0.2">
      <c r="A20" t="s">
        <v>43</v>
      </c>
      <c r="B20" s="9">
        <f>(3.95+3.59+3.75+6.54+3.79+6.27)/6</f>
        <v>4.6483333333333325</v>
      </c>
      <c r="C20" s="14">
        <v>6</v>
      </c>
      <c r="E20" t="s">
        <v>42</v>
      </c>
      <c r="F20" s="9">
        <f>(5.16+9.48+6.69+8.43)/4</f>
        <v>7.44</v>
      </c>
      <c r="G20" s="14">
        <v>4</v>
      </c>
      <c r="I20" s="1" t="s">
        <v>104</v>
      </c>
      <c r="J20" s="2">
        <v>5.15</v>
      </c>
    </row>
    <row r="21" spans="1:10" x14ac:dyDescent="0.2">
      <c r="A21" t="s">
        <v>40</v>
      </c>
      <c r="B21" s="12" t="s">
        <v>117</v>
      </c>
      <c r="C21" s="16">
        <v>0</v>
      </c>
      <c r="E21" t="s">
        <v>39</v>
      </c>
      <c r="F21" s="12">
        <f>(4.37+9.48+5.51+4.9+3.15+5.14)/6</f>
        <v>5.4249999999999998</v>
      </c>
      <c r="G21" s="16">
        <v>6</v>
      </c>
      <c r="I21" s="1" t="s">
        <v>105</v>
      </c>
      <c r="J21" s="2">
        <v>6.51</v>
      </c>
    </row>
    <row r="22" spans="1:10" x14ac:dyDescent="0.2">
      <c r="A22" t="s">
        <v>37</v>
      </c>
      <c r="B22" s="12" t="s">
        <v>117</v>
      </c>
      <c r="C22" s="16">
        <v>0</v>
      </c>
      <c r="E22" t="s">
        <v>36</v>
      </c>
      <c r="F22" s="12" t="s">
        <v>117</v>
      </c>
      <c r="G22" s="16">
        <v>0</v>
      </c>
      <c r="I22" s="1" t="s">
        <v>10</v>
      </c>
      <c r="J22" s="2">
        <v>4.2</v>
      </c>
    </row>
    <row r="23" spans="1:10" x14ac:dyDescent="0.2">
      <c r="A23" t="s">
        <v>35</v>
      </c>
      <c r="B23" s="13">
        <v>7.69</v>
      </c>
      <c r="C23" s="14">
        <v>1</v>
      </c>
      <c r="E23" t="s">
        <v>34</v>
      </c>
      <c r="F23" s="9" t="s">
        <v>117</v>
      </c>
      <c r="G23" s="14">
        <v>0</v>
      </c>
      <c r="I23" s="1" t="s">
        <v>115</v>
      </c>
      <c r="J23" s="2">
        <v>5.8</v>
      </c>
    </row>
    <row r="24" spans="1:10" x14ac:dyDescent="0.2">
      <c r="A24" t="s">
        <v>32</v>
      </c>
      <c r="B24" s="13" t="s">
        <v>117</v>
      </c>
      <c r="C24" s="14">
        <v>0</v>
      </c>
      <c r="E24" t="s">
        <v>31</v>
      </c>
      <c r="F24" s="9" t="s">
        <v>117</v>
      </c>
      <c r="G24" s="14">
        <v>0</v>
      </c>
      <c r="I24" s="1" t="s">
        <v>106</v>
      </c>
      <c r="J24" s="2">
        <v>5.79</v>
      </c>
    </row>
    <row r="25" spans="1:10" x14ac:dyDescent="0.2">
      <c r="A25" t="s">
        <v>29</v>
      </c>
      <c r="B25" s="12">
        <f>(1.7+3.04+2.04)/3</f>
        <v>2.2600000000000002</v>
      </c>
      <c r="C25" s="16">
        <v>3</v>
      </c>
      <c r="E25" t="s">
        <v>28</v>
      </c>
      <c r="F25" s="12">
        <v>7.12</v>
      </c>
      <c r="G25" s="16">
        <v>1</v>
      </c>
      <c r="I25" s="1" t="s">
        <v>55</v>
      </c>
      <c r="J25" s="2">
        <v>5.08</v>
      </c>
    </row>
    <row r="26" spans="1:10" x14ac:dyDescent="0.2">
      <c r="A26" t="s">
        <v>26</v>
      </c>
      <c r="B26" s="12" t="s">
        <v>117</v>
      </c>
      <c r="C26" s="16">
        <v>0</v>
      </c>
      <c r="E26" t="s">
        <v>25</v>
      </c>
      <c r="F26" s="12">
        <f>(6.12+8.52)/2</f>
        <v>7.32</v>
      </c>
      <c r="G26" s="16">
        <v>2</v>
      </c>
      <c r="I26" s="1" t="s">
        <v>116</v>
      </c>
      <c r="J26" s="2">
        <v>4.75</v>
      </c>
    </row>
    <row r="27" spans="1:10" x14ac:dyDescent="0.2">
      <c r="A27" t="s">
        <v>23</v>
      </c>
      <c r="B27" s="13">
        <v>5.57</v>
      </c>
      <c r="C27" s="14">
        <v>1</v>
      </c>
      <c r="E27" t="s">
        <v>22</v>
      </c>
      <c r="F27" s="9">
        <f>(9.06+6.14+6.29+4.66+6.04+6.86)/6</f>
        <v>6.5083333333333329</v>
      </c>
      <c r="G27" s="14">
        <v>6</v>
      </c>
      <c r="I27" s="1" t="s">
        <v>107</v>
      </c>
      <c r="J27" s="2">
        <v>5.5</v>
      </c>
    </row>
    <row r="28" spans="1:10" x14ac:dyDescent="0.2">
      <c r="A28" t="s">
        <v>20</v>
      </c>
      <c r="B28" s="13">
        <f>(2.98+7.51+5.44+10.95+7.76+5.83+6.43)/7</f>
        <v>6.7</v>
      </c>
      <c r="C28" s="14">
        <v>7</v>
      </c>
      <c r="E28" t="s">
        <v>19</v>
      </c>
      <c r="F28" s="9">
        <f>(6.38+7.18+7.73+6.33+13.78+10.43+4.69+4.56+8.7+3.5+5.65+8.08+8.2+4.78+3.58+5.24)/16</f>
        <v>6.8006250000000001</v>
      </c>
      <c r="G28" s="14">
        <v>16</v>
      </c>
      <c r="I28" s="1" t="s">
        <v>50</v>
      </c>
      <c r="J28" s="2">
        <v>5.47</v>
      </c>
    </row>
    <row r="29" spans="1:10" x14ac:dyDescent="0.2">
      <c r="A29" t="s">
        <v>17</v>
      </c>
      <c r="B29" s="12">
        <f>(9.12+5.99+7.02+7.78)/4</f>
        <v>7.4775</v>
      </c>
      <c r="C29" s="16">
        <v>4</v>
      </c>
      <c r="E29" t="s">
        <v>16</v>
      </c>
      <c r="F29" s="12" t="s">
        <v>117</v>
      </c>
      <c r="G29" s="16">
        <v>0</v>
      </c>
      <c r="I29" s="1" t="s">
        <v>47</v>
      </c>
      <c r="J29" s="2">
        <v>5.16</v>
      </c>
    </row>
    <row r="30" spans="1:10" x14ac:dyDescent="0.2">
      <c r="A30" t="s">
        <v>14</v>
      </c>
      <c r="B30" s="12">
        <f>(9.55+7.46)/2</f>
        <v>8.5050000000000008</v>
      </c>
      <c r="C30" s="16">
        <v>2</v>
      </c>
      <c r="E30" t="s">
        <v>13</v>
      </c>
      <c r="F30" s="12">
        <f>(8.93+8.63+4.48)/3</f>
        <v>7.3466666666666676</v>
      </c>
      <c r="G30" s="16">
        <v>3</v>
      </c>
      <c r="I30" s="1" t="s">
        <v>44</v>
      </c>
      <c r="J30" s="2">
        <v>5.12</v>
      </c>
    </row>
    <row r="31" spans="1:10" x14ac:dyDescent="0.2">
      <c r="A31" t="s">
        <v>12</v>
      </c>
      <c r="B31" s="13">
        <f>(9.39+4.13+0.18)/3</f>
        <v>4.5666666666666664</v>
      </c>
      <c r="C31" s="14">
        <v>3</v>
      </c>
      <c r="E31" t="s">
        <v>11</v>
      </c>
      <c r="F31" s="9">
        <v>4.4000000000000004</v>
      </c>
      <c r="G31" s="14">
        <v>1</v>
      </c>
      <c r="I31" s="1" t="s">
        <v>41</v>
      </c>
      <c r="J31" s="2">
        <v>5.43</v>
      </c>
    </row>
    <row r="32" spans="1:10" x14ac:dyDescent="0.2">
      <c r="A32" t="s">
        <v>10</v>
      </c>
      <c r="B32" s="13">
        <f>(3.22+0.26)/2</f>
        <v>1.7400000000000002</v>
      </c>
      <c r="C32" s="14">
        <v>2</v>
      </c>
      <c r="E32" t="s">
        <v>9</v>
      </c>
      <c r="F32" s="9">
        <f>(3.5+3.15+5.51+4.12+2.17)/5</f>
        <v>3.6900000000000004</v>
      </c>
      <c r="G32" s="14">
        <v>5</v>
      </c>
      <c r="I32" s="1" t="s">
        <v>38</v>
      </c>
      <c r="J32" s="2">
        <v>2.74</v>
      </c>
    </row>
    <row r="33" spans="1:10" x14ac:dyDescent="0.2">
      <c r="A33" t="s">
        <v>8</v>
      </c>
      <c r="B33" s="12" t="s">
        <v>117</v>
      </c>
      <c r="C33" s="16">
        <v>0</v>
      </c>
      <c r="E33" t="s">
        <v>7</v>
      </c>
      <c r="F33" s="12">
        <f>(4.49+3.25)/2</f>
        <v>3.87</v>
      </c>
      <c r="G33" s="16">
        <v>2</v>
      </c>
      <c r="I33" s="1" t="s">
        <v>108</v>
      </c>
      <c r="J33" s="2">
        <v>4.9400000000000004</v>
      </c>
    </row>
    <row r="34" spans="1:10" x14ac:dyDescent="0.2">
      <c r="A34" t="s">
        <v>6</v>
      </c>
      <c r="B34" s="12" t="s">
        <v>117</v>
      </c>
      <c r="C34" s="16">
        <v>0</v>
      </c>
      <c r="E34" t="s">
        <v>5</v>
      </c>
      <c r="F34" s="12">
        <v>7.98</v>
      </c>
      <c r="G34" s="16">
        <v>1</v>
      </c>
      <c r="I34" s="1" t="s">
        <v>109</v>
      </c>
      <c r="J34" s="2">
        <v>4.34</v>
      </c>
    </row>
    <row r="35" spans="1:10" x14ac:dyDescent="0.2">
      <c r="A35" t="s">
        <v>4</v>
      </c>
      <c r="B35" s="13" t="s">
        <v>117</v>
      </c>
      <c r="C35" s="14">
        <v>0</v>
      </c>
      <c r="E35" t="s">
        <v>3</v>
      </c>
      <c r="F35" s="9">
        <f>(8.26+5.44)/2</f>
        <v>6.85</v>
      </c>
      <c r="G35" s="14">
        <v>2</v>
      </c>
      <c r="I35" s="1" t="s">
        <v>110</v>
      </c>
      <c r="J35" s="2">
        <v>5.47</v>
      </c>
    </row>
    <row r="36" spans="1:10" x14ac:dyDescent="0.2">
      <c r="A36" t="s">
        <v>2</v>
      </c>
      <c r="B36" s="13" t="s">
        <v>117</v>
      </c>
      <c r="C36" s="14">
        <v>0</v>
      </c>
      <c r="E36" t="s">
        <v>1</v>
      </c>
      <c r="F36" s="9">
        <f>(3.77+3.46)/2</f>
        <v>3.6150000000000002</v>
      </c>
      <c r="G36" s="14">
        <v>2</v>
      </c>
      <c r="I36" s="1" t="s">
        <v>111</v>
      </c>
      <c r="J36" s="2">
        <v>4.4400000000000004</v>
      </c>
    </row>
    <row r="37" spans="1:10" x14ac:dyDescent="0.2">
      <c r="A37" t="s">
        <v>0</v>
      </c>
      <c r="B37" s="12" t="s">
        <v>117</v>
      </c>
      <c r="C37" s="16">
        <v>0</v>
      </c>
      <c r="I37" s="1" t="s">
        <v>33</v>
      </c>
      <c r="J37" s="2">
        <v>4.8099999999999996</v>
      </c>
    </row>
    <row r="38" spans="1:10" x14ac:dyDescent="0.2">
      <c r="B38" s="15"/>
      <c r="C38" s="15"/>
      <c r="I38" s="1" t="s">
        <v>30</v>
      </c>
      <c r="J38" s="2">
        <v>5.65</v>
      </c>
    </row>
    <row r="39" spans="1:10" x14ac:dyDescent="0.2">
      <c r="I39" s="1" t="s">
        <v>27</v>
      </c>
      <c r="J39" s="2">
        <v>5.4</v>
      </c>
    </row>
    <row r="40" spans="1:10" x14ac:dyDescent="0.2">
      <c r="I40" s="1" t="s">
        <v>24</v>
      </c>
      <c r="J40" s="2">
        <v>4.8499999999999996</v>
      </c>
    </row>
    <row r="41" spans="1:10" x14ac:dyDescent="0.2">
      <c r="I41" s="1" t="s">
        <v>21</v>
      </c>
      <c r="J41" s="2">
        <v>5.32</v>
      </c>
    </row>
    <row r="42" spans="1:10" x14ac:dyDescent="0.2">
      <c r="I42" s="1" t="s">
        <v>113</v>
      </c>
      <c r="J42" s="2">
        <v>5.08</v>
      </c>
    </row>
    <row r="43" spans="1:10" x14ac:dyDescent="0.2">
      <c r="I43" s="1" t="s">
        <v>18</v>
      </c>
      <c r="J43" s="2">
        <v>4.5599999999999996</v>
      </c>
    </row>
    <row r="44" spans="1:10" x14ac:dyDescent="0.2">
      <c r="I44" s="1" t="s">
        <v>112</v>
      </c>
      <c r="J44" s="2">
        <v>5.17</v>
      </c>
    </row>
    <row r="45" spans="1:10" x14ac:dyDescent="0.2">
      <c r="I45" s="1" t="s">
        <v>15</v>
      </c>
      <c r="J45" s="2">
        <v>4.93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5"/>
  <sheetViews>
    <sheetView zoomScale="80" zoomScaleNormal="80" workbookViewId="0">
      <selection activeCell="C9" sqref="C9"/>
    </sheetView>
  </sheetViews>
  <sheetFormatPr baseColWidth="10" defaultColWidth="8.83203125" defaultRowHeight="15" x14ac:dyDescent="0.2"/>
  <cols>
    <col min="1" max="1" width="13.5" customWidth="1"/>
    <col min="2" max="2" width="17" customWidth="1"/>
    <col min="3" max="3" width="13.832031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257" max="257" width="13.5" customWidth="1"/>
    <col min="258" max="258" width="17" customWidth="1"/>
    <col min="259" max="259" width="13.83203125" customWidth="1"/>
    <col min="261" max="261" width="13" customWidth="1"/>
    <col min="262" max="262" width="17.33203125" customWidth="1"/>
    <col min="263" max="263" width="12.5" customWidth="1"/>
    <col min="264" max="264" width="17" customWidth="1"/>
    <col min="265" max="265" width="13.5" customWidth="1"/>
    <col min="513" max="513" width="13.5" customWidth="1"/>
    <col min="514" max="514" width="17" customWidth="1"/>
    <col min="515" max="515" width="13.83203125" customWidth="1"/>
    <col min="517" max="517" width="13" customWidth="1"/>
    <col min="518" max="518" width="17.33203125" customWidth="1"/>
    <col min="519" max="519" width="12.5" customWidth="1"/>
    <col min="520" max="520" width="17" customWidth="1"/>
    <col min="521" max="521" width="13.5" customWidth="1"/>
    <col min="769" max="769" width="13.5" customWidth="1"/>
    <col min="770" max="770" width="17" customWidth="1"/>
    <col min="771" max="771" width="13.83203125" customWidth="1"/>
    <col min="773" max="773" width="13" customWidth="1"/>
    <col min="774" max="774" width="17.33203125" customWidth="1"/>
    <col min="775" max="775" width="12.5" customWidth="1"/>
    <col min="776" max="776" width="17" customWidth="1"/>
    <col min="777" max="777" width="13.5" customWidth="1"/>
    <col min="1025" max="1025" width="13.5" customWidth="1"/>
    <col min="1026" max="1026" width="17" customWidth="1"/>
    <col min="1027" max="1027" width="13.83203125" customWidth="1"/>
    <col min="1029" max="1029" width="13" customWidth="1"/>
    <col min="1030" max="1030" width="17.33203125" customWidth="1"/>
    <col min="1031" max="1031" width="12.5" customWidth="1"/>
    <col min="1032" max="1032" width="17" customWidth="1"/>
    <col min="1033" max="1033" width="13.5" customWidth="1"/>
    <col min="1281" max="1281" width="13.5" customWidth="1"/>
    <col min="1282" max="1282" width="17" customWidth="1"/>
    <col min="1283" max="1283" width="13.83203125" customWidth="1"/>
    <col min="1285" max="1285" width="13" customWidth="1"/>
    <col min="1286" max="1286" width="17.33203125" customWidth="1"/>
    <col min="1287" max="1287" width="12.5" customWidth="1"/>
    <col min="1288" max="1288" width="17" customWidth="1"/>
    <col min="1289" max="1289" width="13.5" customWidth="1"/>
    <col min="1537" max="1537" width="13.5" customWidth="1"/>
    <col min="1538" max="1538" width="17" customWidth="1"/>
    <col min="1539" max="1539" width="13.83203125" customWidth="1"/>
    <col min="1541" max="1541" width="13" customWidth="1"/>
    <col min="1542" max="1542" width="17.33203125" customWidth="1"/>
    <col min="1543" max="1543" width="12.5" customWidth="1"/>
    <col min="1544" max="1544" width="17" customWidth="1"/>
    <col min="1545" max="1545" width="13.5" customWidth="1"/>
    <col min="1793" max="1793" width="13.5" customWidth="1"/>
    <col min="1794" max="1794" width="17" customWidth="1"/>
    <col min="1795" max="1795" width="13.83203125" customWidth="1"/>
    <col min="1797" max="1797" width="13" customWidth="1"/>
    <col min="1798" max="1798" width="17.33203125" customWidth="1"/>
    <col min="1799" max="1799" width="12.5" customWidth="1"/>
    <col min="1800" max="1800" width="17" customWidth="1"/>
    <col min="1801" max="1801" width="13.5" customWidth="1"/>
    <col min="2049" max="2049" width="13.5" customWidth="1"/>
    <col min="2050" max="2050" width="17" customWidth="1"/>
    <col min="2051" max="2051" width="13.83203125" customWidth="1"/>
    <col min="2053" max="2053" width="13" customWidth="1"/>
    <col min="2054" max="2054" width="17.33203125" customWidth="1"/>
    <col min="2055" max="2055" width="12.5" customWidth="1"/>
    <col min="2056" max="2056" width="17" customWidth="1"/>
    <col min="2057" max="2057" width="13.5" customWidth="1"/>
    <col min="2305" max="2305" width="13.5" customWidth="1"/>
    <col min="2306" max="2306" width="17" customWidth="1"/>
    <col min="2307" max="2307" width="13.83203125" customWidth="1"/>
    <col min="2309" max="2309" width="13" customWidth="1"/>
    <col min="2310" max="2310" width="17.33203125" customWidth="1"/>
    <col min="2311" max="2311" width="12.5" customWidth="1"/>
    <col min="2312" max="2312" width="17" customWidth="1"/>
    <col min="2313" max="2313" width="13.5" customWidth="1"/>
    <col min="2561" max="2561" width="13.5" customWidth="1"/>
    <col min="2562" max="2562" width="17" customWidth="1"/>
    <col min="2563" max="2563" width="13.83203125" customWidth="1"/>
    <col min="2565" max="2565" width="13" customWidth="1"/>
    <col min="2566" max="2566" width="17.33203125" customWidth="1"/>
    <col min="2567" max="2567" width="12.5" customWidth="1"/>
    <col min="2568" max="2568" width="17" customWidth="1"/>
    <col min="2569" max="2569" width="13.5" customWidth="1"/>
    <col min="2817" max="2817" width="13.5" customWidth="1"/>
    <col min="2818" max="2818" width="17" customWidth="1"/>
    <col min="2819" max="2819" width="13.83203125" customWidth="1"/>
    <col min="2821" max="2821" width="13" customWidth="1"/>
    <col min="2822" max="2822" width="17.33203125" customWidth="1"/>
    <col min="2823" max="2823" width="12.5" customWidth="1"/>
    <col min="2824" max="2824" width="17" customWidth="1"/>
    <col min="2825" max="2825" width="13.5" customWidth="1"/>
    <col min="3073" max="3073" width="13.5" customWidth="1"/>
    <col min="3074" max="3074" width="17" customWidth="1"/>
    <col min="3075" max="3075" width="13.83203125" customWidth="1"/>
    <col min="3077" max="3077" width="13" customWidth="1"/>
    <col min="3078" max="3078" width="17.33203125" customWidth="1"/>
    <col min="3079" max="3079" width="12.5" customWidth="1"/>
    <col min="3080" max="3080" width="17" customWidth="1"/>
    <col min="3081" max="3081" width="13.5" customWidth="1"/>
    <col min="3329" max="3329" width="13.5" customWidth="1"/>
    <col min="3330" max="3330" width="17" customWidth="1"/>
    <col min="3331" max="3331" width="13.83203125" customWidth="1"/>
    <col min="3333" max="3333" width="13" customWidth="1"/>
    <col min="3334" max="3334" width="17.33203125" customWidth="1"/>
    <col min="3335" max="3335" width="12.5" customWidth="1"/>
    <col min="3336" max="3336" width="17" customWidth="1"/>
    <col min="3337" max="3337" width="13.5" customWidth="1"/>
    <col min="3585" max="3585" width="13.5" customWidth="1"/>
    <col min="3586" max="3586" width="17" customWidth="1"/>
    <col min="3587" max="3587" width="13.83203125" customWidth="1"/>
    <col min="3589" max="3589" width="13" customWidth="1"/>
    <col min="3590" max="3590" width="17.33203125" customWidth="1"/>
    <col min="3591" max="3591" width="12.5" customWidth="1"/>
    <col min="3592" max="3592" width="17" customWidth="1"/>
    <col min="3593" max="3593" width="13.5" customWidth="1"/>
    <col min="3841" max="3841" width="13.5" customWidth="1"/>
    <col min="3842" max="3842" width="17" customWidth="1"/>
    <col min="3843" max="3843" width="13.83203125" customWidth="1"/>
    <col min="3845" max="3845" width="13" customWidth="1"/>
    <col min="3846" max="3846" width="17.33203125" customWidth="1"/>
    <col min="3847" max="3847" width="12.5" customWidth="1"/>
    <col min="3848" max="3848" width="17" customWidth="1"/>
    <col min="3849" max="3849" width="13.5" customWidth="1"/>
    <col min="4097" max="4097" width="13.5" customWidth="1"/>
    <col min="4098" max="4098" width="17" customWidth="1"/>
    <col min="4099" max="4099" width="13.83203125" customWidth="1"/>
    <col min="4101" max="4101" width="13" customWidth="1"/>
    <col min="4102" max="4102" width="17.33203125" customWidth="1"/>
    <col min="4103" max="4103" width="12.5" customWidth="1"/>
    <col min="4104" max="4104" width="17" customWidth="1"/>
    <col min="4105" max="4105" width="13.5" customWidth="1"/>
    <col min="4353" max="4353" width="13.5" customWidth="1"/>
    <col min="4354" max="4354" width="17" customWidth="1"/>
    <col min="4355" max="4355" width="13.83203125" customWidth="1"/>
    <col min="4357" max="4357" width="13" customWidth="1"/>
    <col min="4358" max="4358" width="17.33203125" customWidth="1"/>
    <col min="4359" max="4359" width="12.5" customWidth="1"/>
    <col min="4360" max="4360" width="17" customWidth="1"/>
    <col min="4361" max="4361" width="13.5" customWidth="1"/>
    <col min="4609" max="4609" width="13.5" customWidth="1"/>
    <col min="4610" max="4610" width="17" customWidth="1"/>
    <col min="4611" max="4611" width="13.83203125" customWidth="1"/>
    <col min="4613" max="4613" width="13" customWidth="1"/>
    <col min="4614" max="4614" width="17.33203125" customWidth="1"/>
    <col min="4615" max="4615" width="12.5" customWidth="1"/>
    <col min="4616" max="4616" width="17" customWidth="1"/>
    <col min="4617" max="4617" width="13.5" customWidth="1"/>
    <col min="4865" max="4865" width="13.5" customWidth="1"/>
    <col min="4866" max="4866" width="17" customWidth="1"/>
    <col min="4867" max="4867" width="13.83203125" customWidth="1"/>
    <col min="4869" max="4869" width="13" customWidth="1"/>
    <col min="4870" max="4870" width="17.33203125" customWidth="1"/>
    <col min="4871" max="4871" width="12.5" customWidth="1"/>
    <col min="4872" max="4872" width="17" customWidth="1"/>
    <col min="4873" max="4873" width="13.5" customWidth="1"/>
    <col min="5121" max="5121" width="13.5" customWidth="1"/>
    <col min="5122" max="5122" width="17" customWidth="1"/>
    <col min="5123" max="5123" width="13.83203125" customWidth="1"/>
    <col min="5125" max="5125" width="13" customWidth="1"/>
    <col min="5126" max="5126" width="17.33203125" customWidth="1"/>
    <col min="5127" max="5127" width="12.5" customWidth="1"/>
    <col min="5128" max="5128" width="17" customWidth="1"/>
    <col min="5129" max="5129" width="13.5" customWidth="1"/>
    <col min="5377" max="5377" width="13.5" customWidth="1"/>
    <col min="5378" max="5378" width="17" customWidth="1"/>
    <col min="5379" max="5379" width="13.83203125" customWidth="1"/>
    <col min="5381" max="5381" width="13" customWidth="1"/>
    <col min="5382" max="5382" width="17.33203125" customWidth="1"/>
    <col min="5383" max="5383" width="12.5" customWidth="1"/>
    <col min="5384" max="5384" width="17" customWidth="1"/>
    <col min="5385" max="5385" width="13.5" customWidth="1"/>
    <col min="5633" max="5633" width="13.5" customWidth="1"/>
    <col min="5634" max="5634" width="17" customWidth="1"/>
    <col min="5635" max="5635" width="13.83203125" customWidth="1"/>
    <col min="5637" max="5637" width="13" customWidth="1"/>
    <col min="5638" max="5638" width="17.33203125" customWidth="1"/>
    <col min="5639" max="5639" width="12.5" customWidth="1"/>
    <col min="5640" max="5640" width="17" customWidth="1"/>
    <col min="5641" max="5641" width="13.5" customWidth="1"/>
    <col min="5889" max="5889" width="13.5" customWidth="1"/>
    <col min="5890" max="5890" width="17" customWidth="1"/>
    <col min="5891" max="5891" width="13.83203125" customWidth="1"/>
    <col min="5893" max="5893" width="13" customWidth="1"/>
    <col min="5894" max="5894" width="17.33203125" customWidth="1"/>
    <col min="5895" max="5895" width="12.5" customWidth="1"/>
    <col min="5896" max="5896" width="17" customWidth="1"/>
    <col min="5897" max="5897" width="13.5" customWidth="1"/>
    <col min="6145" max="6145" width="13.5" customWidth="1"/>
    <col min="6146" max="6146" width="17" customWidth="1"/>
    <col min="6147" max="6147" width="13.83203125" customWidth="1"/>
    <col min="6149" max="6149" width="13" customWidth="1"/>
    <col min="6150" max="6150" width="17.33203125" customWidth="1"/>
    <col min="6151" max="6151" width="12.5" customWidth="1"/>
    <col min="6152" max="6152" width="17" customWidth="1"/>
    <col min="6153" max="6153" width="13.5" customWidth="1"/>
    <col min="6401" max="6401" width="13.5" customWidth="1"/>
    <col min="6402" max="6402" width="17" customWidth="1"/>
    <col min="6403" max="6403" width="13.83203125" customWidth="1"/>
    <col min="6405" max="6405" width="13" customWidth="1"/>
    <col min="6406" max="6406" width="17.33203125" customWidth="1"/>
    <col min="6407" max="6407" width="12.5" customWidth="1"/>
    <col min="6408" max="6408" width="17" customWidth="1"/>
    <col min="6409" max="6409" width="13.5" customWidth="1"/>
    <col min="6657" max="6657" width="13.5" customWidth="1"/>
    <col min="6658" max="6658" width="17" customWidth="1"/>
    <col min="6659" max="6659" width="13.83203125" customWidth="1"/>
    <col min="6661" max="6661" width="13" customWidth="1"/>
    <col min="6662" max="6662" width="17.33203125" customWidth="1"/>
    <col min="6663" max="6663" width="12.5" customWidth="1"/>
    <col min="6664" max="6664" width="17" customWidth="1"/>
    <col min="6665" max="6665" width="13.5" customWidth="1"/>
    <col min="6913" max="6913" width="13.5" customWidth="1"/>
    <col min="6914" max="6914" width="17" customWidth="1"/>
    <col min="6915" max="6915" width="13.83203125" customWidth="1"/>
    <col min="6917" max="6917" width="13" customWidth="1"/>
    <col min="6918" max="6918" width="17.33203125" customWidth="1"/>
    <col min="6919" max="6919" width="12.5" customWidth="1"/>
    <col min="6920" max="6920" width="17" customWidth="1"/>
    <col min="6921" max="6921" width="13.5" customWidth="1"/>
    <col min="7169" max="7169" width="13.5" customWidth="1"/>
    <col min="7170" max="7170" width="17" customWidth="1"/>
    <col min="7171" max="7171" width="13.83203125" customWidth="1"/>
    <col min="7173" max="7173" width="13" customWidth="1"/>
    <col min="7174" max="7174" width="17.33203125" customWidth="1"/>
    <col min="7175" max="7175" width="12.5" customWidth="1"/>
    <col min="7176" max="7176" width="17" customWidth="1"/>
    <col min="7177" max="7177" width="13.5" customWidth="1"/>
    <col min="7425" max="7425" width="13.5" customWidth="1"/>
    <col min="7426" max="7426" width="17" customWidth="1"/>
    <col min="7427" max="7427" width="13.83203125" customWidth="1"/>
    <col min="7429" max="7429" width="13" customWidth="1"/>
    <col min="7430" max="7430" width="17.33203125" customWidth="1"/>
    <col min="7431" max="7431" width="12.5" customWidth="1"/>
    <col min="7432" max="7432" width="17" customWidth="1"/>
    <col min="7433" max="7433" width="13.5" customWidth="1"/>
    <col min="7681" max="7681" width="13.5" customWidth="1"/>
    <col min="7682" max="7682" width="17" customWidth="1"/>
    <col min="7683" max="7683" width="13.83203125" customWidth="1"/>
    <col min="7685" max="7685" width="13" customWidth="1"/>
    <col min="7686" max="7686" width="17.33203125" customWidth="1"/>
    <col min="7687" max="7687" width="12.5" customWidth="1"/>
    <col min="7688" max="7688" width="17" customWidth="1"/>
    <col min="7689" max="7689" width="13.5" customWidth="1"/>
    <col min="7937" max="7937" width="13.5" customWidth="1"/>
    <col min="7938" max="7938" width="17" customWidth="1"/>
    <col min="7939" max="7939" width="13.83203125" customWidth="1"/>
    <col min="7941" max="7941" width="13" customWidth="1"/>
    <col min="7942" max="7942" width="17.33203125" customWidth="1"/>
    <col min="7943" max="7943" width="12.5" customWidth="1"/>
    <col min="7944" max="7944" width="17" customWidth="1"/>
    <col min="7945" max="7945" width="13.5" customWidth="1"/>
    <col min="8193" max="8193" width="13.5" customWidth="1"/>
    <col min="8194" max="8194" width="17" customWidth="1"/>
    <col min="8195" max="8195" width="13.83203125" customWidth="1"/>
    <col min="8197" max="8197" width="13" customWidth="1"/>
    <col min="8198" max="8198" width="17.33203125" customWidth="1"/>
    <col min="8199" max="8199" width="12.5" customWidth="1"/>
    <col min="8200" max="8200" width="17" customWidth="1"/>
    <col min="8201" max="8201" width="13.5" customWidth="1"/>
    <col min="8449" max="8449" width="13.5" customWidth="1"/>
    <col min="8450" max="8450" width="17" customWidth="1"/>
    <col min="8451" max="8451" width="13.83203125" customWidth="1"/>
    <col min="8453" max="8453" width="13" customWidth="1"/>
    <col min="8454" max="8454" width="17.33203125" customWidth="1"/>
    <col min="8455" max="8455" width="12.5" customWidth="1"/>
    <col min="8456" max="8456" width="17" customWidth="1"/>
    <col min="8457" max="8457" width="13.5" customWidth="1"/>
    <col min="8705" max="8705" width="13.5" customWidth="1"/>
    <col min="8706" max="8706" width="17" customWidth="1"/>
    <col min="8707" max="8707" width="13.83203125" customWidth="1"/>
    <col min="8709" max="8709" width="13" customWidth="1"/>
    <col min="8710" max="8710" width="17.33203125" customWidth="1"/>
    <col min="8711" max="8711" width="12.5" customWidth="1"/>
    <col min="8712" max="8712" width="17" customWidth="1"/>
    <col min="8713" max="8713" width="13.5" customWidth="1"/>
    <col min="8961" max="8961" width="13.5" customWidth="1"/>
    <col min="8962" max="8962" width="17" customWidth="1"/>
    <col min="8963" max="8963" width="13.83203125" customWidth="1"/>
    <col min="8965" max="8965" width="13" customWidth="1"/>
    <col min="8966" max="8966" width="17.33203125" customWidth="1"/>
    <col min="8967" max="8967" width="12.5" customWidth="1"/>
    <col min="8968" max="8968" width="17" customWidth="1"/>
    <col min="8969" max="8969" width="13.5" customWidth="1"/>
    <col min="9217" max="9217" width="13.5" customWidth="1"/>
    <col min="9218" max="9218" width="17" customWidth="1"/>
    <col min="9219" max="9219" width="13.83203125" customWidth="1"/>
    <col min="9221" max="9221" width="13" customWidth="1"/>
    <col min="9222" max="9222" width="17.33203125" customWidth="1"/>
    <col min="9223" max="9223" width="12.5" customWidth="1"/>
    <col min="9224" max="9224" width="17" customWidth="1"/>
    <col min="9225" max="9225" width="13.5" customWidth="1"/>
    <col min="9473" max="9473" width="13.5" customWidth="1"/>
    <col min="9474" max="9474" width="17" customWidth="1"/>
    <col min="9475" max="9475" width="13.83203125" customWidth="1"/>
    <col min="9477" max="9477" width="13" customWidth="1"/>
    <col min="9478" max="9478" width="17.33203125" customWidth="1"/>
    <col min="9479" max="9479" width="12.5" customWidth="1"/>
    <col min="9480" max="9480" width="17" customWidth="1"/>
    <col min="9481" max="9481" width="13.5" customWidth="1"/>
    <col min="9729" max="9729" width="13.5" customWidth="1"/>
    <col min="9730" max="9730" width="17" customWidth="1"/>
    <col min="9731" max="9731" width="13.83203125" customWidth="1"/>
    <col min="9733" max="9733" width="13" customWidth="1"/>
    <col min="9734" max="9734" width="17.33203125" customWidth="1"/>
    <col min="9735" max="9735" width="12.5" customWidth="1"/>
    <col min="9736" max="9736" width="17" customWidth="1"/>
    <col min="9737" max="9737" width="13.5" customWidth="1"/>
    <col min="9985" max="9985" width="13.5" customWidth="1"/>
    <col min="9986" max="9986" width="17" customWidth="1"/>
    <col min="9987" max="9987" width="13.83203125" customWidth="1"/>
    <col min="9989" max="9989" width="13" customWidth="1"/>
    <col min="9990" max="9990" width="17.33203125" customWidth="1"/>
    <col min="9991" max="9991" width="12.5" customWidth="1"/>
    <col min="9992" max="9992" width="17" customWidth="1"/>
    <col min="9993" max="9993" width="13.5" customWidth="1"/>
    <col min="10241" max="10241" width="13.5" customWidth="1"/>
    <col min="10242" max="10242" width="17" customWidth="1"/>
    <col min="10243" max="10243" width="13.83203125" customWidth="1"/>
    <col min="10245" max="10245" width="13" customWidth="1"/>
    <col min="10246" max="10246" width="17.33203125" customWidth="1"/>
    <col min="10247" max="10247" width="12.5" customWidth="1"/>
    <col min="10248" max="10248" width="17" customWidth="1"/>
    <col min="10249" max="10249" width="13.5" customWidth="1"/>
    <col min="10497" max="10497" width="13.5" customWidth="1"/>
    <col min="10498" max="10498" width="17" customWidth="1"/>
    <col min="10499" max="10499" width="13.83203125" customWidth="1"/>
    <col min="10501" max="10501" width="13" customWidth="1"/>
    <col min="10502" max="10502" width="17.33203125" customWidth="1"/>
    <col min="10503" max="10503" width="12.5" customWidth="1"/>
    <col min="10504" max="10504" width="17" customWidth="1"/>
    <col min="10505" max="10505" width="13.5" customWidth="1"/>
    <col min="10753" max="10753" width="13.5" customWidth="1"/>
    <col min="10754" max="10754" width="17" customWidth="1"/>
    <col min="10755" max="10755" width="13.83203125" customWidth="1"/>
    <col min="10757" max="10757" width="13" customWidth="1"/>
    <col min="10758" max="10758" width="17.33203125" customWidth="1"/>
    <col min="10759" max="10759" width="12.5" customWidth="1"/>
    <col min="10760" max="10760" width="17" customWidth="1"/>
    <col min="10761" max="10761" width="13.5" customWidth="1"/>
    <col min="11009" max="11009" width="13.5" customWidth="1"/>
    <col min="11010" max="11010" width="17" customWidth="1"/>
    <col min="11011" max="11011" width="13.83203125" customWidth="1"/>
    <col min="11013" max="11013" width="13" customWidth="1"/>
    <col min="11014" max="11014" width="17.33203125" customWidth="1"/>
    <col min="11015" max="11015" width="12.5" customWidth="1"/>
    <col min="11016" max="11016" width="17" customWidth="1"/>
    <col min="11017" max="11017" width="13.5" customWidth="1"/>
    <col min="11265" max="11265" width="13.5" customWidth="1"/>
    <col min="11266" max="11266" width="17" customWidth="1"/>
    <col min="11267" max="11267" width="13.83203125" customWidth="1"/>
    <col min="11269" max="11269" width="13" customWidth="1"/>
    <col min="11270" max="11270" width="17.33203125" customWidth="1"/>
    <col min="11271" max="11271" width="12.5" customWidth="1"/>
    <col min="11272" max="11272" width="17" customWidth="1"/>
    <col min="11273" max="11273" width="13.5" customWidth="1"/>
    <col min="11521" max="11521" width="13.5" customWidth="1"/>
    <col min="11522" max="11522" width="17" customWidth="1"/>
    <col min="11523" max="11523" width="13.83203125" customWidth="1"/>
    <col min="11525" max="11525" width="13" customWidth="1"/>
    <col min="11526" max="11526" width="17.33203125" customWidth="1"/>
    <col min="11527" max="11527" width="12.5" customWidth="1"/>
    <col min="11528" max="11528" width="17" customWidth="1"/>
    <col min="11529" max="11529" width="13.5" customWidth="1"/>
    <col min="11777" max="11777" width="13.5" customWidth="1"/>
    <col min="11778" max="11778" width="17" customWidth="1"/>
    <col min="11779" max="11779" width="13.83203125" customWidth="1"/>
    <col min="11781" max="11781" width="13" customWidth="1"/>
    <col min="11782" max="11782" width="17.33203125" customWidth="1"/>
    <col min="11783" max="11783" width="12.5" customWidth="1"/>
    <col min="11784" max="11784" width="17" customWidth="1"/>
    <col min="11785" max="11785" width="13.5" customWidth="1"/>
    <col min="12033" max="12033" width="13.5" customWidth="1"/>
    <col min="12034" max="12034" width="17" customWidth="1"/>
    <col min="12035" max="12035" width="13.83203125" customWidth="1"/>
    <col min="12037" max="12037" width="13" customWidth="1"/>
    <col min="12038" max="12038" width="17.33203125" customWidth="1"/>
    <col min="12039" max="12039" width="12.5" customWidth="1"/>
    <col min="12040" max="12040" width="17" customWidth="1"/>
    <col min="12041" max="12041" width="13.5" customWidth="1"/>
    <col min="12289" max="12289" width="13.5" customWidth="1"/>
    <col min="12290" max="12290" width="17" customWidth="1"/>
    <col min="12291" max="12291" width="13.83203125" customWidth="1"/>
    <col min="12293" max="12293" width="13" customWidth="1"/>
    <col min="12294" max="12294" width="17.33203125" customWidth="1"/>
    <col min="12295" max="12295" width="12.5" customWidth="1"/>
    <col min="12296" max="12296" width="17" customWidth="1"/>
    <col min="12297" max="12297" width="13.5" customWidth="1"/>
    <col min="12545" max="12545" width="13.5" customWidth="1"/>
    <col min="12546" max="12546" width="17" customWidth="1"/>
    <col min="12547" max="12547" width="13.83203125" customWidth="1"/>
    <col min="12549" max="12549" width="13" customWidth="1"/>
    <col min="12550" max="12550" width="17.33203125" customWidth="1"/>
    <col min="12551" max="12551" width="12.5" customWidth="1"/>
    <col min="12552" max="12552" width="17" customWidth="1"/>
    <col min="12553" max="12553" width="13.5" customWidth="1"/>
    <col min="12801" max="12801" width="13.5" customWidth="1"/>
    <col min="12802" max="12802" width="17" customWidth="1"/>
    <col min="12803" max="12803" width="13.83203125" customWidth="1"/>
    <col min="12805" max="12805" width="13" customWidth="1"/>
    <col min="12806" max="12806" width="17.33203125" customWidth="1"/>
    <col min="12807" max="12807" width="12.5" customWidth="1"/>
    <col min="12808" max="12808" width="17" customWidth="1"/>
    <col min="12809" max="12809" width="13.5" customWidth="1"/>
    <col min="13057" max="13057" width="13.5" customWidth="1"/>
    <col min="13058" max="13058" width="17" customWidth="1"/>
    <col min="13059" max="13059" width="13.83203125" customWidth="1"/>
    <col min="13061" max="13061" width="13" customWidth="1"/>
    <col min="13062" max="13062" width="17.33203125" customWidth="1"/>
    <col min="13063" max="13063" width="12.5" customWidth="1"/>
    <col min="13064" max="13064" width="17" customWidth="1"/>
    <col min="13065" max="13065" width="13.5" customWidth="1"/>
    <col min="13313" max="13313" width="13.5" customWidth="1"/>
    <col min="13314" max="13314" width="17" customWidth="1"/>
    <col min="13315" max="13315" width="13.83203125" customWidth="1"/>
    <col min="13317" max="13317" width="13" customWidth="1"/>
    <col min="13318" max="13318" width="17.33203125" customWidth="1"/>
    <col min="13319" max="13319" width="12.5" customWidth="1"/>
    <col min="13320" max="13320" width="17" customWidth="1"/>
    <col min="13321" max="13321" width="13.5" customWidth="1"/>
    <col min="13569" max="13569" width="13.5" customWidth="1"/>
    <col min="13570" max="13570" width="17" customWidth="1"/>
    <col min="13571" max="13571" width="13.83203125" customWidth="1"/>
    <col min="13573" max="13573" width="13" customWidth="1"/>
    <col min="13574" max="13574" width="17.33203125" customWidth="1"/>
    <col min="13575" max="13575" width="12.5" customWidth="1"/>
    <col min="13576" max="13576" width="17" customWidth="1"/>
    <col min="13577" max="13577" width="13.5" customWidth="1"/>
    <col min="13825" max="13825" width="13.5" customWidth="1"/>
    <col min="13826" max="13826" width="17" customWidth="1"/>
    <col min="13827" max="13827" width="13.83203125" customWidth="1"/>
    <col min="13829" max="13829" width="13" customWidth="1"/>
    <col min="13830" max="13830" width="17.33203125" customWidth="1"/>
    <col min="13831" max="13831" width="12.5" customWidth="1"/>
    <col min="13832" max="13832" width="17" customWidth="1"/>
    <col min="13833" max="13833" width="13.5" customWidth="1"/>
    <col min="14081" max="14081" width="13.5" customWidth="1"/>
    <col min="14082" max="14082" width="17" customWidth="1"/>
    <col min="14083" max="14083" width="13.83203125" customWidth="1"/>
    <col min="14085" max="14085" width="13" customWidth="1"/>
    <col min="14086" max="14086" width="17.33203125" customWidth="1"/>
    <col min="14087" max="14087" width="12.5" customWidth="1"/>
    <col min="14088" max="14088" width="17" customWidth="1"/>
    <col min="14089" max="14089" width="13.5" customWidth="1"/>
    <col min="14337" max="14337" width="13.5" customWidth="1"/>
    <col min="14338" max="14338" width="17" customWidth="1"/>
    <col min="14339" max="14339" width="13.83203125" customWidth="1"/>
    <col min="14341" max="14341" width="13" customWidth="1"/>
    <col min="14342" max="14342" width="17.33203125" customWidth="1"/>
    <col min="14343" max="14343" width="12.5" customWidth="1"/>
    <col min="14344" max="14344" width="17" customWidth="1"/>
    <col min="14345" max="14345" width="13.5" customWidth="1"/>
    <col min="14593" max="14593" width="13.5" customWidth="1"/>
    <col min="14594" max="14594" width="17" customWidth="1"/>
    <col min="14595" max="14595" width="13.83203125" customWidth="1"/>
    <col min="14597" max="14597" width="13" customWidth="1"/>
    <col min="14598" max="14598" width="17.33203125" customWidth="1"/>
    <col min="14599" max="14599" width="12.5" customWidth="1"/>
    <col min="14600" max="14600" width="17" customWidth="1"/>
    <col min="14601" max="14601" width="13.5" customWidth="1"/>
    <col min="14849" max="14849" width="13.5" customWidth="1"/>
    <col min="14850" max="14850" width="17" customWidth="1"/>
    <col min="14851" max="14851" width="13.83203125" customWidth="1"/>
    <col min="14853" max="14853" width="13" customWidth="1"/>
    <col min="14854" max="14854" width="17.33203125" customWidth="1"/>
    <col min="14855" max="14855" width="12.5" customWidth="1"/>
    <col min="14856" max="14856" width="17" customWidth="1"/>
    <col min="14857" max="14857" width="13.5" customWidth="1"/>
    <col min="15105" max="15105" width="13.5" customWidth="1"/>
    <col min="15106" max="15106" width="17" customWidth="1"/>
    <col min="15107" max="15107" width="13.83203125" customWidth="1"/>
    <col min="15109" max="15109" width="13" customWidth="1"/>
    <col min="15110" max="15110" width="17.33203125" customWidth="1"/>
    <col min="15111" max="15111" width="12.5" customWidth="1"/>
    <col min="15112" max="15112" width="17" customWidth="1"/>
    <col min="15113" max="15113" width="13.5" customWidth="1"/>
    <col min="15361" max="15361" width="13.5" customWidth="1"/>
    <col min="15362" max="15362" width="17" customWidth="1"/>
    <col min="15363" max="15363" width="13.83203125" customWidth="1"/>
    <col min="15365" max="15365" width="13" customWidth="1"/>
    <col min="15366" max="15366" width="17.33203125" customWidth="1"/>
    <col min="15367" max="15367" width="12.5" customWidth="1"/>
    <col min="15368" max="15368" width="17" customWidth="1"/>
    <col min="15369" max="15369" width="13.5" customWidth="1"/>
    <col min="15617" max="15617" width="13.5" customWidth="1"/>
    <col min="15618" max="15618" width="17" customWidth="1"/>
    <col min="15619" max="15619" width="13.83203125" customWidth="1"/>
    <col min="15621" max="15621" width="13" customWidth="1"/>
    <col min="15622" max="15622" width="17.33203125" customWidth="1"/>
    <col min="15623" max="15623" width="12.5" customWidth="1"/>
    <col min="15624" max="15624" width="17" customWidth="1"/>
    <col min="15625" max="15625" width="13.5" customWidth="1"/>
    <col min="15873" max="15873" width="13.5" customWidth="1"/>
    <col min="15874" max="15874" width="17" customWidth="1"/>
    <col min="15875" max="15875" width="13.83203125" customWidth="1"/>
    <col min="15877" max="15877" width="13" customWidth="1"/>
    <col min="15878" max="15878" width="17.33203125" customWidth="1"/>
    <col min="15879" max="15879" width="12.5" customWidth="1"/>
    <col min="15880" max="15880" width="17" customWidth="1"/>
    <col min="15881" max="15881" width="13.5" customWidth="1"/>
    <col min="16129" max="16129" width="13.5" customWidth="1"/>
    <col min="16130" max="16130" width="17" customWidth="1"/>
    <col min="16131" max="16131" width="13.83203125" customWidth="1"/>
    <col min="16133" max="16133" width="13" customWidth="1"/>
    <col min="16134" max="16134" width="17.33203125" customWidth="1"/>
    <col min="16135" max="16135" width="12.5" customWidth="1"/>
    <col min="16136" max="16136" width="17" customWidth="1"/>
    <col min="16137" max="16137" width="13.5" customWidth="1"/>
  </cols>
  <sheetData>
    <row r="1" spans="1:10" x14ac:dyDescent="0.2">
      <c r="A1" s="28" t="s">
        <v>88</v>
      </c>
      <c r="B1" s="28"/>
      <c r="C1" s="28"/>
      <c r="D1" s="28"/>
      <c r="E1" s="28"/>
      <c r="F1" s="28"/>
      <c r="G1" s="28"/>
      <c r="H1" s="28"/>
    </row>
    <row r="2" spans="1:10" x14ac:dyDescent="0.2">
      <c r="A2" s="29" t="s">
        <v>131</v>
      </c>
      <c r="B2" s="29"/>
      <c r="C2" s="29"/>
      <c r="D2" s="29"/>
      <c r="E2" s="29"/>
      <c r="F2" s="29"/>
      <c r="G2" s="29"/>
      <c r="H2" s="29"/>
    </row>
    <row r="3" spans="1:10" ht="32" x14ac:dyDescent="0.2">
      <c r="B3" s="5" t="s">
        <v>87</v>
      </c>
      <c r="C3" s="4" t="s">
        <v>86</v>
      </c>
      <c r="F3" s="5" t="s">
        <v>87</v>
      </c>
      <c r="G3" s="4" t="s">
        <v>86</v>
      </c>
      <c r="I3" s="3" t="s">
        <v>91</v>
      </c>
    </row>
    <row r="4" spans="1:10" x14ac:dyDescent="0.2">
      <c r="A4" t="s">
        <v>85</v>
      </c>
      <c r="B4" s="13">
        <f>(3.62+0.04/2)</f>
        <v>3.64</v>
      </c>
      <c r="C4" s="14">
        <v>2</v>
      </c>
      <c r="E4" t="s">
        <v>84</v>
      </c>
      <c r="F4" s="9">
        <f>(2.6+2.04)/2</f>
        <v>2.3200000000000003</v>
      </c>
      <c r="G4" s="14">
        <v>2</v>
      </c>
      <c r="I4" s="1" t="s">
        <v>83</v>
      </c>
      <c r="J4" s="2">
        <v>4.63</v>
      </c>
    </row>
    <row r="5" spans="1:10" x14ac:dyDescent="0.2">
      <c r="A5" t="s">
        <v>82</v>
      </c>
      <c r="B5" s="12">
        <f>(15.48+13.58+15.81+16.41+19.42+14.13+15.5+16.78+16.07+13.69+12.18+15.8+10.84+13.07+13.77+12.1+11.49+9.74+9.27+12.87+17.7+12.2+12.41+10.82+12.16+13.68+15.45+12.56+17.67+15.35+14.95+15.27+16.93+1.23)/34</f>
        <v>13.717058823529415</v>
      </c>
      <c r="C5" s="16">
        <v>34</v>
      </c>
      <c r="E5" t="s">
        <v>81</v>
      </c>
      <c r="F5" s="12">
        <f>(3.5+4.91+5.55+5.2+6.27+2.15)/6</f>
        <v>4.5966666666666667</v>
      </c>
      <c r="G5" s="16">
        <v>6</v>
      </c>
      <c r="I5" s="1" t="s">
        <v>94</v>
      </c>
      <c r="J5" s="2">
        <v>4.22</v>
      </c>
    </row>
    <row r="6" spans="1:10" x14ac:dyDescent="0.2">
      <c r="A6" t="s">
        <v>79</v>
      </c>
      <c r="B6" s="12">
        <v>7.17</v>
      </c>
      <c r="C6" s="16">
        <v>1</v>
      </c>
      <c r="E6" t="s">
        <v>78</v>
      </c>
      <c r="F6" s="12">
        <f>(2.96+5.31+3.79+2.75+3.6+3.19+5.46+3.48+2.92+4.57+0.45+3.99+1.76+3.86+2.86+5.11+2.01+3.59+5.65+5.2)/20</f>
        <v>3.6255000000000002</v>
      </c>
      <c r="G6" s="16">
        <v>20</v>
      </c>
      <c r="I6" s="1" t="s">
        <v>80</v>
      </c>
      <c r="J6" s="2">
        <v>4.5</v>
      </c>
    </row>
    <row r="7" spans="1:10" x14ac:dyDescent="0.2">
      <c r="A7" t="s">
        <v>76</v>
      </c>
      <c r="B7" s="13" t="s">
        <v>117</v>
      </c>
      <c r="C7" s="14">
        <v>0</v>
      </c>
      <c r="E7" t="s">
        <v>75</v>
      </c>
      <c r="F7" s="9">
        <v>7.83</v>
      </c>
      <c r="G7" s="14">
        <v>1</v>
      </c>
      <c r="I7" s="1" t="s">
        <v>77</v>
      </c>
      <c r="J7" s="2">
        <v>3.57</v>
      </c>
    </row>
    <row r="8" spans="1:10" x14ac:dyDescent="0.2">
      <c r="A8" t="s">
        <v>73</v>
      </c>
      <c r="B8" s="13">
        <f>(3.82+5.91+5.37+5.85)/4</f>
        <v>5.2375000000000007</v>
      </c>
      <c r="C8" s="14">
        <v>4</v>
      </c>
      <c r="E8" t="s">
        <v>72</v>
      </c>
      <c r="F8" s="9">
        <f>(2.45+6.93+4.28+1.44+1.7+4.27+6.6+5.95+2.99)/9</f>
        <v>4.0677777777777786</v>
      </c>
      <c r="G8" s="14">
        <v>9</v>
      </c>
      <c r="I8" s="1" t="s">
        <v>95</v>
      </c>
      <c r="J8" s="2">
        <v>5.65</v>
      </c>
    </row>
    <row r="9" spans="1:10" x14ac:dyDescent="0.2">
      <c r="A9" t="s">
        <v>71</v>
      </c>
      <c r="B9" s="12" t="s">
        <v>117</v>
      </c>
      <c r="C9" s="16">
        <v>0</v>
      </c>
      <c r="E9" t="s">
        <v>70</v>
      </c>
      <c r="F9" s="12">
        <f>(4.71+3.79+1.57+2+1.44)/5</f>
        <v>2.702</v>
      </c>
      <c r="G9" s="16">
        <v>5</v>
      </c>
      <c r="I9" s="1" t="s">
        <v>96</v>
      </c>
      <c r="J9" s="2">
        <v>4.47</v>
      </c>
    </row>
    <row r="10" spans="1:10" x14ac:dyDescent="0.2">
      <c r="A10" t="s">
        <v>69</v>
      </c>
      <c r="B10" s="12">
        <v>6.18</v>
      </c>
      <c r="C10" s="16">
        <v>1</v>
      </c>
      <c r="E10" t="s">
        <v>68</v>
      </c>
      <c r="F10" s="12">
        <f>(5.22+3.92+2.78+0.96+6.78+6.02)/6</f>
        <v>4.28</v>
      </c>
      <c r="G10" s="16">
        <v>6</v>
      </c>
      <c r="I10" s="1" t="s">
        <v>97</v>
      </c>
      <c r="J10" s="2">
        <v>3.39</v>
      </c>
    </row>
    <row r="11" spans="1:10" x14ac:dyDescent="0.2">
      <c r="A11" t="s">
        <v>66</v>
      </c>
      <c r="B11" s="13">
        <f>(4.56+4.25)/2</f>
        <v>4.4049999999999994</v>
      </c>
      <c r="C11" s="14">
        <v>2</v>
      </c>
      <c r="E11" t="s">
        <v>65</v>
      </c>
      <c r="F11" s="9">
        <f>(4.06+3.18+3.58+5.35+4.52+0+2.91+3.79+4.39+6.52)/10</f>
        <v>3.8299999999999996</v>
      </c>
      <c r="G11" s="14">
        <v>10</v>
      </c>
      <c r="I11" s="1" t="s">
        <v>74</v>
      </c>
      <c r="J11" s="2">
        <v>6.44</v>
      </c>
    </row>
    <row r="12" spans="1:10" x14ac:dyDescent="0.2">
      <c r="A12" t="s">
        <v>63</v>
      </c>
      <c r="B12" s="13" t="s">
        <v>117</v>
      </c>
      <c r="C12" s="14">
        <v>0</v>
      </c>
      <c r="E12" t="s">
        <v>62</v>
      </c>
      <c r="F12" s="9" t="s">
        <v>117</v>
      </c>
      <c r="G12" s="14">
        <v>0</v>
      </c>
      <c r="I12" s="1" t="s">
        <v>98</v>
      </c>
      <c r="J12" s="2">
        <v>3.72</v>
      </c>
    </row>
    <row r="13" spans="1:10" x14ac:dyDescent="0.2">
      <c r="A13" t="s">
        <v>61</v>
      </c>
      <c r="B13" s="12" t="s">
        <v>117</v>
      </c>
      <c r="C13" s="16">
        <v>0</v>
      </c>
      <c r="E13" t="s">
        <v>60</v>
      </c>
      <c r="F13" s="12" t="s">
        <v>117</v>
      </c>
      <c r="G13" s="16">
        <v>0</v>
      </c>
      <c r="I13" s="1" t="s">
        <v>99</v>
      </c>
      <c r="J13" s="2">
        <v>4.16</v>
      </c>
    </row>
    <row r="14" spans="1:10" x14ac:dyDescent="0.2">
      <c r="A14" t="s">
        <v>59</v>
      </c>
      <c r="B14" s="12">
        <v>5.78</v>
      </c>
      <c r="C14" s="16">
        <v>1</v>
      </c>
      <c r="E14" t="s">
        <v>58</v>
      </c>
      <c r="F14" s="12">
        <f>(3.06+4.88+3.5+3.28+5.21+13.02+2.95+4.98+3.96+4.15+6.04+4.18+6.87+3.6+6.23+4.21+4.46+3.34+5.65+2.45+4.81+4.47)/22</f>
        <v>4.786363636363637</v>
      </c>
      <c r="G14" s="16">
        <v>22</v>
      </c>
      <c r="I14" s="1" t="s">
        <v>100</v>
      </c>
      <c r="J14" s="2">
        <v>5.0199999999999996</v>
      </c>
    </row>
    <row r="15" spans="1:10" x14ac:dyDescent="0.2">
      <c r="A15" t="s">
        <v>57</v>
      </c>
      <c r="B15" s="13">
        <v>7.84</v>
      </c>
      <c r="C15" s="14">
        <v>1</v>
      </c>
      <c r="E15" t="s">
        <v>56</v>
      </c>
      <c r="F15" s="9" t="s">
        <v>117</v>
      </c>
      <c r="G15" s="14">
        <v>0</v>
      </c>
      <c r="I15" s="1" t="s">
        <v>101</v>
      </c>
      <c r="J15" s="2">
        <v>4.6900000000000004</v>
      </c>
    </row>
    <row r="16" spans="1:10" x14ac:dyDescent="0.2">
      <c r="A16" t="s">
        <v>54</v>
      </c>
      <c r="B16" s="13">
        <f>(11.55+9.59+9.01)/3</f>
        <v>10.049999999999999</v>
      </c>
      <c r="C16" s="14">
        <v>3</v>
      </c>
      <c r="E16" t="s">
        <v>53</v>
      </c>
      <c r="F16" s="9">
        <v>4.9800000000000004</v>
      </c>
      <c r="G16" s="14">
        <v>1</v>
      </c>
      <c r="I16" s="1" t="s">
        <v>102</v>
      </c>
      <c r="J16" s="2">
        <v>4.09</v>
      </c>
    </row>
    <row r="17" spans="1:10" x14ac:dyDescent="0.2">
      <c r="A17" t="s">
        <v>52</v>
      </c>
      <c r="B17" s="12">
        <v>3.16</v>
      </c>
      <c r="C17" s="16">
        <v>1</v>
      </c>
      <c r="E17" t="s">
        <v>51</v>
      </c>
      <c r="F17" s="12">
        <f>(8.55+6.75+8.31+1.09+7.42+4.77+6.98+3.98+5.38+3.5)/10</f>
        <v>5.673</v>
      </c>
      <c r="G17" s="16">
        <v>10</v>
      </c>
      <c r="I17" s="1" t="s">
        <v>103</v>
      </c>
      <c r="J17" s="2">
        <v>4.0999999999999996</v>
      </c>
    </row>
    <row r="18" spans="1:10" x14ac:dyDescent="0.2">
      <c r="A18" t="s">
        <v>49</v>
      </c>
      <c r="B18" s="12" t="s">
        <v>117</v>
      </c>
      <c r="C18" s="16">
        <v>0</v>
      </c>
      <c r="E18" t="s">
        <v>48</v>
      </c>
      <c r="F18" s="12">
        <f>(15.31+11.87+15.11+13.31+14.56+10.14+15.78+12.3+14.3+15.26+14.36+9.18+16.67+16.34+15.03+13.22+15.65+12.17+11.74+9.04+19.88+12.84+10.08)/23</f>
        <v>13.658260869565217</v>
      </c>
      <c r="G18" s="16">
        <v>23</v>
      </c>
      <c r="I18" s="1" t="s">
        <v>67</v>
      </c>
      <c r="J18" s="2">
        <v>7.19</v>
      </c>
    </row>
    <row r="19" spans="1:10" x14ac:dyDescent="0.2">
      <c r="A19" t="s">
        <v>46</v>
      </c>
      <c r="B19" s="13" t="s">
        <v>117</v>
      </c>
      <c r="C19" s="14">
        <v>0</v>
      </c>
      <c r="E19" t="s">
        <v>45</v>
      </c>
      <c r="F19" s="9">
        <f>(9.67+12.25+10.57)/3</f>
        <v>10.83</v>
      </c>
      <c r="G19" s="14">
        <v>3</v>
      </c>
      <c r="I19" s="1" t="s">
        <v>64</v>
      </c>
      <c r="J19" s="2">
        <v>4.49</v>
      </c>
    </row>
    <row r="20" spans="1:10" x14ac:dyDescent="0.2">
      <c r="A20" t="s">
        <v>43</v>
      </c>
      <c r="B20" s="13">
        <f>(5.66+2.58+4.74+3.37+3.56+3.5)/6</f>
        <v>3.9016666666666668</v>
      </c>
      <c r="C20" s="14">
        <v>6</v>
      </c>
      <c r="E20" t="s">
        <v>42</v>
      </c>
      <c r="F20" s="9">
        <f>(8.6+12.89+6.67+14.14)/4</f>
        <v>10.575000000000001</v>
      </c>
      <c r="G20" s="14">
        <v>4</v>
      </c>
      <c r="I20" s="1" t="s">
        <v>104</v>
      </c>
      <c r="J20" s="2">
        <v>3.57</v>
      </c>
    </row>
    <row r="21" spans="1:10" x14ac:dyDescent="0.2">
      <c r="A21" t="s">
        <v>40</v>
      </c>
      <c r="B21" s="12" t="s">
        <v>117</v>
      </c>
      <c r="C21" s="16">
        <v>0</v>
      </c>
      <c r="E21" t="s">
        <v>39</v>
      </c>
      <c r="F21" s="12">
        <f>(6.61+4+2.13+4.48+2.41+4.28+1.27)/7</f>
        <v>3.597142857142857</v>
      </c>
      <c r="G21" s="16">
        <v>7</v>
      </c>
      <c r="I21" s="1" t="s">
        <v>105</v>
      </c>
      <c r="J21" s="2">
        <v>5.07</v>
      </c>
    </row>
    <row r="22" spans="1:10" x14ac:dyDescent="0.2">
      <c r="A22" t="s">
        <v>37</v>
      </c>
      <c r="B22" s="12" t="s">
        <v>117</v>
      </c>
      <c r="C22" s="16">
        <v>0</v>
      </c>
      <c r="E22" t="s">
        <v>36</v>
      </c>
      <c r="F22" s="12" t="s">
        <v>117</v>
      </c>
      <c r="G22" s="16">
        <v>0</v>
      </c>
      <c r="I22" s="1" t="s">
        <v>10</v>
      </c>
      <c r="J22" s="2">
        <v>3.84</v>
      </c>
    </row>
    <row r="23" spans="1:10" x14ac:dyDescent="0.2">
      <c r="A23" t="s">
        <v>35</v>
      </c>
      <c r="B23" s="13">
        <v>7.67</v>
      </c>
      <c r="C23" s="14">
        <v>1</v>
      </c>
      <c r="E23" t="s">
        <v>34</v>
      </c>
      <c r="F23" s="9" t="s">
        <v>117</v>
      </c>
      <c r="G23" s="14">
        <v>0</v>
      </c>
      <c r="I23" s="1" t="s">
        <v>115</v>
      </c>
      <c r="J23" s="2">
        <v>5.03</v>
      </c>
    </row>
    <row r="24" spans="1:10" x14ac:dyDescent="0.2">
      <c r="A24" t="s">
        <v>32</v>
      </c>
      <c r="B24" s="13" t="s">
        <v>117</v>
      </c>
      <c r="C24" s="14">
        <v>0</v>
      </c>
      <c r="E24" t="s">
        <v>31</v>
      </c>
      <c r="F24" s="9" t="s">
        <v>117</v>
      </c>
      <c r="G24" s="14">
        <v>0</v>
      </c>
      <c r="I24" s="1" t="s">
        <v>106</v>
      </c>
      <c r="J24" s="2">
        <v>4.76</v>
      </c>
    </row>
    <row r="25" spans="1:10" x14ac:dyDescent="0.2">
      <c r="A25" t="s">
        <v>29</v>
      </c>
      <c r="B25" s="12">
        <f>(7.33+7.52+5.08)/3</f>
        <v>6.6433333333333335</v>
      </c>
      <c r="C25" s="16">
        <v>3</v>
      </c>
      <c r="E25" t="s">
        <v>28</v>
      </c>
      <c r="F25" s="12">
        <v>5.95</v>
      </c>
      <c r="G25" s="16">
        <v>1</v>
      </c>
      <c r="I25" s="1" t="s">
        <v>55</v>
      </c>
      <c r="J25" s="2">
        <v>4.3499999999999996</v>
      </c>
    </row>
    <row r="26" spans="1:10" x14ac:dyDescent="0.2">
      <c r="A26" t="s">
        <v>26</v>
      </c>
      <c r="B26" s="12" t="s">
        <v>117</v>
      </c>
      <c r="C26" s="16">
        <v>0</v>
      </c>
      <c r="E26" t="s">
        <v>25</v>
      </c>
      <c r="F26" s="12">
        <f>(7.82+5.18)/2</f>
        <v>6.5</v>
      </c>
      <c r="G26" s="16">
        <v>2</v>
      </c>
      <c r="I26" s="1" t="s">
        <v>116</v>
      </c>
      <c r="J26" s="2">
        <v>4.01</v>
      </c>
    </row>
    <row r="27" spans="1:10" x14ac:dyDescent="0.2">
      <c r="A27" t="s">
        <v>23</v>
      </c>
      <c r="B27" s="13">
        <v>7.14</v>
      </c>
      <c r="C27" s="14">
        <v>1</v>
      </c>
      <c r="E27" t="s">
        <v>22</v>
      </c>
      <c r="F27" s="9">
        <f>(1.49+3.82+3.53+3.03+3.42+2.42)/6</f>
        <v>2.9516666666666667</v>
      </c>
      <c r="G27" s="14">
        <v>6</v>
      </c>
      <c r="I27" s="1" t="s">
        <v>107</v>
      </c>
      <c r="J27" s="2">
        <v>3.55</v>
      </c>
    </row>
    <row r="28" spans="1:10" x14ac:dyDescent="0.2">
      <c r="A28" t="s">
        <v>20</v>
      </c>
      <c r="B28" s="13">
        <f>(3.07+4.86+4.53+3.23+4.71+5.56+5.73)/7</f>
        <v>4.5271428571428576</v>
      </c>
      <c r="C28" s="14">
        <v>7</v>
      </c>
      <c r="E28" t="s">
        <v>19</v>
      </c>
      <c r="F28" s="9">
        <f>(2.37+1.8+1.87+4.82+2.76+5.87+3.94+3.84+2.26+4.87+3.78+4.93+1.53+2.89+0.02+1.35)/16</f>
        <v>3.0562500000000004</v>
      </c>
      <c r="G28" s="14">
        <v>16</v>
      </c>
      <c r="I28" s="1" t="s">
        <v>50</v>
      </c>
      <c r="J28" s="2">
        <v>3.37</v>
      </c>
    </row>
    <row r="29" spans="1:10" x14ac:dyDescent="0.2">
      <c r="A29" t="s">
        <v>17</v>
      </c>
      <c r="B29" s="12">
        <f>(5.46+5.25+4.05+6.08+4.3)/5</f>
        <v>5.0280000000000005</v>
      </c>
      <c r="C29" s="16">
        <v>5</v>
      </c>
      <c r="E29" t="s">
        <v>16</v>
      </c>
      <c r="F29" s="12" t="s">
        <v>117</v>
      </c>
      <c r="G29" s="16">
        <v>0</v>
      </c>
      <c r="I29" s="1" t="s">
        <v>47</v>
      </c>
      <c r="J29" s="2">
        <v>3.33</v>
      </c>
    </row>
    <row r="30" spans="1:10" x14ac:dyDescent="0.2">
      <c r="A30" t="s">
        <v>14</v>
      </c>
      <c r="B30" s="12">
        <f>(9.43+11.48)/2</f>
        <v>10.455</v>
      </c>
      <c r="C30" s="16">
        <v>2</v>
      </c>
      <c r="E30" t="s">
        <v>13</v>
      </c>
      <c r="F30" s="12">
        <f>(1.95+1.52)/2</f>
        <v>1.7349999999999999</v>
      </c>
      <c r="G30" s="16">
        <v>2</v>
      </c>
      <c r="I30" s="1" t="s">
        <v>44</v>
      </c>
      <c r="J30" s="2">
        <v>4.2</v>
      </c>
    </row>
    <row r="31" spans="1:10" x14ac:dyDescent="0.2">
      <c r="A31" t="s">
        <v>12</v>
      </c>
      <c r="B31" s="13">
        <f>(2.56+3.41)/2</f>
        <v>2.9850000000000003</v>
      </c>
      <c r="C31" s="14">
        <v>2</v>
      </c>
      <c r="E31" t="s">
        <v>11</v>
      </c>
      <c r="F31" s="9">
        <v>4.47</v>
      </c>
      <c r="G31" s="14">
        <v>1</v>
      </c>
      <c r="I31" s="1" t="s">
        <v>41</v>
      </c>
      <c r="J31" s="2">
        <v>4.51</v>
      </c>
    </row>
    <row r="32" spans="1:10" x14ac:dyDescent="0.2">
      <c r="A32" t="s">
        <v>10</v>
      </c>
      <c r="B32" s="13">
        <v>5.04</v>
      </c>
      <c r="C32" s="14">
        <v>1</v>
      </c>
      <c r="E32" t="s">
        <v>9</v>
      </c>
      <c r="F32" s="9">
        <f>(4.59+5.14+5.64+7.45+9.5)/5</f>
        <v>6.4640000000000004</v>
      </c>
      <c r="G32" s="14">
        <v>5</v>
      </c>
      <c r="I32" s="1" t="s">
        <v>38</v>
      </c>
      <c r="J32" s="2">
        <v>6.86</v>
      </c>
    </row>
    <row r="33" spans="1:10" x14ac:dyDescent="0.2">
      <c r="A33" t="s">
        <v>8</v>
      </c>
      <c r="B33" s="12" t="s">
        <v>117</v>
      </c>
      <c r="C33" s="16">
        <v>0</v>
      </c>
      <c r="E33" t="s">
        <v>7</v>
      </c>
      <c r="F33" s="12">
        <f>(6.61+5.65)/2</f>
        <v>6.1300000000000008</v>
      </c>
      <c r="G33" s="16">
        <v>2</v>
      </c>
      <c r="I33" s="1" t="s">
        <v>108</v>
      </c>
      <c r="J33" s="2">
        <v>4.12</v>
      </c>
    </row>
    <row r="34" spans="1:10" x14ac:dyDescent="0.2">
      <c r="A34" t="s">
        <v>6</v>
      </c>
      <c r="B34" s="12" t="s">
        <v>117</v>
      </c>
      <c r="C34" s="16">
        <v>0</v>
      </c>
      <c r="E34" t="s">
        <v>5</v>
      </c>
      <c r="F34" s="12">
        <v>11.55</v>
      </c>
      <c r="G34" s="16">
        <v>1</v>
      </c>
      <c r="I34" s="1" t="s">
        <v>109</v>
      </c>
      <c r="J34" s="2">
        <v>3.66</v>
      </c>
    </row>
    <row r="35" spans="1:10" x14ac:dyDescent="0.2">
      <c r="A35" t="s">
        <v>4</v>
      </c>
      <c r="B35" s="13" t="s">
        <v>117</v>
      </c>
      <c r="C35" s="14">
        <v>0</v>
      </c>
      <c r="E35" t="s">
        <v>3</v>
      </c>
      <c r="F35" s="9">
        <f>(10.7+9.74)/2</f>
        <v>10.219999999999999</v>
      </c>
      <c r="G35" s="14">
        <v>2</v>
      </c>
      <c r="I35" s="1" t="s">
        <v>110</v>
      </c>
      <c r="J35" s="2">
        <v>3.31</v>
      </c>
    </row>
    <row r="36" spans="1:10" x14ac:dyDescent="0.2">
      <c r="A36" t="s">
        <v>2</v>
      </c>
      <c r="B36" s="13" t="s">
        <v>117</v>
      </c>
      <c r="C36" s="14">
        <v>0</v>
      </c>
      <c r="E36" t="s">
        <v>1</v>
      </c>
      <c r="F36" s="9">
        <f>(2.75+4.54+3.25)/3</f>
        <v>3.5133333333333332</v>
      </c>
      <c r="G36" s="14">
        <v>3</v>
      </c>
      <c r="I36" s="1" t="s">
        <v>111</v>
      </c>
      <c r="J36" s="2">
        <v>3.56</v>
      </c>
    </row>
    <row r="37" spans="1:10" x14ac:dyDescent="0.2">
      <c r="A37" t="s">
        <v>0</v>
      </c>
      <c r="B37" s="12" t="s">
        <v>117</v>
      </c>
      <c r="C37" s="16">
        <v>0</v>
      </c>
      <c r="I37" s="1" t="s">
        <v>33</v>
      </c>
      <c r="J37" s="2">
        <v>4.45</v>
      </c>
    </row>
    <row r="38" spans="1:10" x14ac:dyDescent="0.2">
      <c r="I38" s="1" t="s">
        <v>30</v>
      </c>
      <c r="J38" s="2">
        <v>3.85</v>
      </c>
    </row>
    <row r="39" spans="1:10" x14ac:dyDescent="0.2">
      <c r="I39" s="1" t="s">
        <v>27</v>
      </c>
      <c r="J39" s="2">
        <v>4.9000000000000004</v>
      </c>
    </row>
    <row r="40" spans="1:10" x14ac:dyDescent="0.2">
      <c r="I40" s="1" t="s">
        <v>24</v>
      </c>
      <c r="J40" s="2">
        <v>3.79</v>
      </c>
    </row>
    <row r="41" spans="1:10" x14ac:dyDescent="0.2">
      <c r="I41" s="1" t="s">
        <v>21</v>
      </c>
      <c r="J41" s="2">
        <v>4.4800000000000004</v>
      </c>
    </row>
    <row r="42" spans="1:10" x14ac:dyDescent="0.2">
      <c r="I42" s="1" t="s">
        <v>113</v>
      </c>
      <c r="J42" s="2">
        <v>4.59</v>
      </c>
    </row>
    <row r="43" spans="1:10" x14ac:dyDescent="0.2">
      <c r="I43" s="1" t="s">
        <v>18</v>
      </c>
      <c r="J43" s="2">
        <v>2.78</v>
      </c>
    </row>
    <row r="44" spans="1:10" x14ac:dyDescent="0.2">
      <c r="I44" s="1" t="s">
        <v>112</v>
      </c>
      <c r="J44" s="2">
        <v>4.0199999999999996</v>
      </c>
    </row>
    <row r="45" spans="1:10" x14ac:dyDescent="0.2">
      <c r="I45" s="1" t="s">
        <v>15</v>
      </c>
      <c r="J45" s="2">
        <v>4.3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5"/>
  <sheetViews>
    <sheetView topLeftCell="D17" workbookViewId="0">
      <selection activeCell="F37" sqref="F37"/>
    </sheetView>
  </sheetViews>
  <sheetFormatPr baseColWidth="10" defaultColWidth="8.83203125" defaultRowHeight="15" x14ac:dyDescent="0.2"/>
  <cols>
    <col min="1" max="1" width="13.5" customWidth="1"/>
    <col min="2" max="2" width="17" customWidth="1"/>
    <col min="3" max="3" width="13.832031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7.5" bestFit="1" customWidth="1"/>
    <col min="257" max="257" width="13.5" customWidth="1"/>
    <col min="258" max="258" width="17" customWidth="1"/>
    <col min="259" max="259" width="13.83203125" customWidth="1"/>
    <col min="261" max="261" width="13" customWidth="1"/>
    <col min="262" max="262" width="17.33203125" customWidth="1"/>
    <col min="263" max="263" width="12.5" customWidth="1"/>
    <col min="264" max="264" width="17" customWidth="1"/>
    <col min="265" max="265" width="13.5" customWidth="1"/>
    <col min="513" max="513" width="13.5" customWidth="1"/>
    <col min="514" max="514" width="17" customWidth="1"/>
    <col min="515" max="515" width="13.83203125" customWidth="1"/>
    <col min="517" max="517" width="13" customWidth="1"/>
    <col min="518" max="518" width="17.33203125" customWidth="1"/>
    <col min="519" max="519" width="12.5" customWidth="1"/>
    <col min="520" max="520" width="17" customWidth="1"/>
    <col min="521" max="521" width="13.5" customWidth="1"/>
    <col min="769" max="769" width="13.5" customWidth="1"/>
    <col min="770" max="770" width="17" customWidth="1"/>
    <col min="771" max="771" width="13.83203125" customWidth="1"/>
    <col min="773" max="773" width="13" customWidth="1"/>
    <col min="774" max="774" width="17.33203125" customWidth="1"/>
    <col min="775" max="775" width="12.5" customWidth="1"/>
    <col min="776" max="776" width="17" customWidth="1"/>
    <col min="777" max="777" width="13.5" customWidth="1"/>
    <col min="1025" max="1025" width="13.5" customWidth="1"/>
    <col min="1026" max="1026" width="17" customWidth="1"/>
    <col min="1027" max="1027" width="13.83203125" customWidth="1"/>
    <col min="1029" max="1029" width="13" customWidth="1"/>
    <col min="1030" max="1030" width="17.33203125" customWidth="1"/>
    <col min="1031" max="1031" width="12.5" customWidth="1"/>
    <col min="1032" max="1032" width="17" customWidth="1"/>
    <col min="1033" max="1033" width="13.5" customWidth="1"/>
    <col min="1281" max="1281" width="13.5" customWidth="1"/>
    <col min="1282" max="1282" width="17" customWidth="1"/>
    <col min="1283" max="1283" width="13.83203125" customWidth="1"/>
    <col min="1285" max="1285" width="13" customWidth="1"/>
    <col min="1286" max="1286" width="17.33203125" customWidth="1"/>
    <col min="1287" max="1287" width="12.5" customWidth="1"/>
    <col min="1288" max="1288" width="17" customWidth="1"/>
    <col min="1289" max="1289" width="13.5" customWidth="1"/>
    <col min="1537" max="1537" width="13.5" customWidth="1"/>
    <col min="1538" max="1538" width="17" customWidth="1"/>
    <col min="1539" max="1539" width="13.83203125" customWidth="1"/>
    <col min="1541" max="1541" width="13" customWidth="1"/>
    <col min="1542" max="1542" width="17.33203125" customWidth="1"/>
    <col min="1543" max="1543" width="12.5" customWidth="1"/>
    <col min="1544" max="1544" width="17" customWidth="1"/>
    <col min="1545" max="1545" width="13.5" customWidth="1"/>
    <col min="1793" max="1793" width="13.5" customWidth="1"/>
    <col min="1794" max="1794" width="17" customWidth="1"/>
    <col min="1795" max="1795" width="13.83203125" customWidth="1"/>
    <col min="1797" max="1797" width="13" customWidth="1"/>
    <col min="1798" max="1798" width="17.33203125" customWidth="1"/>
    <col min="1799" max="1799" width="12.5" customWidth="1"/>
    <col min="1800" max="1800" width="17" customWidth="1"/>
    <col min="1801" max="1801" width="13.5" customWidth="1"/>
    <col min="2049" max="2049" width="13.5" customWidth="1"/>
    <col min="2050" max="2050" width="17" customWidth="1"/>
    <col min="2051" max="2051" width="13.83203125" customWidth="1"/>
    <col min="2053" max="2053" width="13" customWidth="1"/>
    <col min="2054" max="2054" width="17.33203125" customWidth="1"/>
    <col min="2055" max="2055" width="12.5" customWidth="1"/>
    <col min="2056" max="2056" width="17" customWidth="1"/>
    <col min="2057" max="2057" width="13.5" customWidth="1"/>
    <col min="2305" max="2305" width="13.5" customWidth="1"/>
    <col min="2306" max="2306" width="17" customWidth="1"/>
    <col min="2307" max="2307" width="13.83203125" customWidth="1"/>
    <col min="2309" max="2309" width="13" customWidth="1"/>
    <col min="2310" max="2310" width="17.33203125" customWidth="1"/>
    <col min="2311" max="2311" width="12.5" customWidth="1"/>
    <col min="2312" max="2312" width="17" customWidth="1"/>
    <col min="2313" max="2313" width="13.5" customWidth="1"/>
    <col min="2561" max="2561" width="13.5" customWidth="1"/>
    <col min="2562" max="2562" width="17" customWidth="1"/>
    <col min="2563" max="2563" width="13.83203125" customWidth="1"/>
    <col min="2565" max="2565" width="13" customWidth="1"/>
    <col min="2566" max="2566" width="17.33203125" customWidth="1"/>
    <col min="2567" max="2567" width="12.5" customWidth="1"/>
    <col min="2568" max="2568" width="17" customWidth="1"/>
    <col min="2569" max="2569" width="13.5" customWidth="1"/>
    <col min="2817" max="2817" width="13.5" customWidth="1"/>
    <col min="2818" max="2818" width="17" customWidth="1"/>
    <col min="2819" max="2819" width="13.83203125" customWidth="1"/>
    <col min="2821" max="2821" width="13" customWidth="1"/>
    <col min="2822" max="2822" width="17.33203125" customWidth="1"/>
    <col min="2823" max="2823" width="12.5" customWidth="1"/>
    <col min="2824" max="2824" width="17" customWidth="1"/>
    <col min="2825" max="2825" width="13.5" customWidth="1"/>
    <col min="3073" max="3073" width="13.5" customWidth="1"/>
    <col min="3074" max="3074" width="17" customWidth="1"/>
    <col min="3075" max="3075" width="13.83203125" customWidth="1"/>
    <col min="3077" max="3077" width="13" customWidth="1"/>
    <col min="3078" max="3078" width="17.33203125" customWidth="1"/>
    <col min="3079" max="3079" width="12.5" customWidth="1"/>
    <col min="3080" max="3080" width="17" customWidth="1"/>
    <col min="3081" max="3081" width="13.5" customWidth="1"/>
    <col min="3329" max="3329" width="13.5" customWidth="1"/>
    <col min="3330" max="3330" width="17" customWidth="1"/>
    <col min="3331" max="3331" width="13.83203125" customWidth="1"/>
    <col min="3333" max="3333" width="13" customWidth="1"/>
    <col min="3334" max="3334" width="17.33203125" customWidth="1"/>
    <col min="3335" max="3335" width="12.5" customWidth="1"/>
    <col min="3336" max="3336" width="17" customWidth="1"/>
    <col min="3337" max="3337" width="13.5" customWidth="1"/>
    <col min="3585" max="3585" width="13.5" customWidth="1"/>
    <col min="3586" max="3586" width="17" customWidth="1"/>
    <col min="3587" max="3587" width="13.83203125" customWidth="1"/>
    <col min="3589" max="3589" width="13" customWidth="1"/>
    <col min="3590" max="3590" width="17.33203125" customWidth="1"/>
    <col min="3591" max="3591" width="12.5" customWidth="1"/>
    <col min="3592" max="3592" width="17" customWidth="1"/>
    <col min="3593" max="3593" width="13.5" customWidth="1"/>
    <col min="3841" max="3841" width="13.5" customWidth="1"/>
    <col min="3842" max="3842" width="17" customWidth="1"/>
    <col min="3843" max="3843" width="13.83203125" customWidth="1"/>
    <col min="3845" max="3845" width="13" customWidth="1"/>
    <col min="3846" max="3846" width="17.33203125" customWidth="1"/>
    <col min="3847" max="3847" width="12.5" customWidth="1"/>
    <col min="3848" max="3848" width="17" customWidth="1"/>
    <col min="3849" max="3849" width="13.5" customWidth="1"/>
    <col min="4097" max="4097" width="13.5" customWidth="1"/>
    <col min="4098" max="4098" width="17" customWidth="1"/>
    <col min="4099" max="4099" width="13.83203125" customWidth="1"/>
    <col min="4101" max="4101" width="13" customWidth="1"/>
    <col min="4102" max="4102" width="17.33203125" customWidth="1"/>
    <col min="4103" max="4103" width="12.5" customWidth="1"/>
    <col min="4104" max="4104" width="17" customWidth="1"/>
    <col min="4105" max="4105" width="13.5" customWidth="1"/>
    <col min="4353" max="4353" width="13.5" customWidth="1"/>
    <col min="4354" max="4354" width="17" customWidth="1"/>
    <col min="4355" max="4355" width="13.83203125" customWidth="1"/>
    <col min="4357" max="4357" width="13" customWidth="1"/>
    <col min="4358" max="4358" width="17.33203125" customWidth="1"/>
    <col min="4359" max="4359" width="12.5" customWidth="1"/>
    <col min="4360" max="4360" width="17" customWidth="1"/>
    <col min="4361" max="4361" width="13.5" customWidth="1"/>
    <col min="4609" max="4609" width="13.5" customWidth="1"/>
    <col min="4610" max="4610" width="17" customWidth="1"/>
    <col min="4611" max="4611" width="13.83203125" customWidth="1"/>
    <col min="4613" max="4613" width="13" customWidth="1"/>
    <col min="4614" max="4614" width="17.33203125" customWidth="1"/>
    <col min="4615" max="4615" width="12.5" customWidth="1"/>
    <col min="4616" max="4616" width="17" customWidth="1"/>
    <col min="4617" max="4617" width="13.5" customWidth="1"/>
    <col min="4865" max="4865" width="13.5" customWidth="1"/>
    <col min="4866" max="4866" width="17" customWidth="1"/>
    <col min="4867" max="4867" width="13.83203125" customWidth="1"/>
    <col min="4869" max="4869" width="13" customWidth="1"/>
    <col min="4870" max="4870" width="17.33203125" customWidth="1"/>
    <col min="4871" max="4871" width="12.5" customWidth="1"/>
    <col min="4872" max="4872" width="17" customWidth="1"/>
    <col min="4873" max="4873" width="13.5" customWidth="1"/>
    <col min="5121" max="5121" width="13.5" customWidth="1"/>
    <col min="5122" max="5122" width="17" customWidth="1"/>
    <col min="5123" max="5123" width="13.83203125" customWidth="1"/>
    <col min="5125" max="5125" width="13" customWidth="1"/>
    <col min="5126" max="5126" width="17.33203125" customWidth="1"/>
    <col min="5127" max="5127" width="12.5" customWidth="1"/>
    <col min="5128" max="5128" width="17" customWidth="1"/>
    <col min="5129" max="5129" width="13.5" customWidth="1"/>
    <col min="5377" max="5377" width="13.5" customWidth="1"/>
    <col min="5378" max="5378" width="17" customWidth="1"/>
    <col min="5379" max="5379" width="13.83203125" customWidth="1"/>
    <col min="5381" max="5381" width="13" customWidth="1"/>
    <col min="5382" max="5382" width="17.33203125" customWidth="1"/>
    <col min="5383" max="5383" width="12.5" customWidth="1"/>
    <col min="5384" max="5384" width="17" customWidth="1"/>
    <col min="5385" max="5385" width="13.5" customWidth="1"/>
    <col min="5633" max="5633" width="13.5" customWidth="1"/>
    <col min="5634" max="5634" width="17" customWidth="1"/>
    <col min="5635" max="5635" width="13.83203125" customWidth="1"/>
    <col min="5637" max="5637" width="13" customWidth="1"/>
    <col min="5638" max="5638" width="17.33203125" customWidth="1"/>
    <col min="5639" max="5639" width="12.5" customWidth="1"/>
    <col min="5640" max="5640" width="17" customWidth="1"/>
    <col min="5641" max="5641" width="13.5" customWidth="1"/>
    <col min="5889" max="5889" width="13.5" customWidth="1"/>
    <col min="5890" max="5890" width="17" customWidth="1"/>
    <col min="5891" max="5891" width="13.83203125" customWidth="1"/>
    <col min="5893" max="5893" width="13" customWidth="1"/>
    <col min="5894" max="5894" width="17.33203125" customWidth="1"/>
    <col min="5895" max="5895" width="12.5" customWidth="1"/>
    <col min="5896" max="5896" width="17" customWidth="1"/>
    <col min="5897" max="5897" width="13.5" customWidth="1"/>
    <col min="6145" max="6145" width="13.5" customWidth="1"/>
    <col min="6146" max="6146" width="17" customWidth="1"/>
    <col min="6147" max="6147" width="13.83203125" customWidth="1"/>
    <col min="6149" max="6149" width="13" customWidth="1"/>
    <col min="6150" max="6150" width="17.33203125" customWidth="1"/>
    <col min="6151" max="6151" width="12.5" customWidth="1"/>
    <col min="6152" max="6152" width="17" customWidth="1"/>
    <col min="6153" max="6153" width="13.5" customWidth="1"/>
    <col min="6401" max="6401" width="13.5" customWidth="1"/>
    <col min="6402" max="6402" width="17" customWidth="1"/>
    <col min="6403" max="6403" width="13.83203125" customWidth="1"/>
    <col min="6405" max="6405" width="13" customWidth="1"/>
    <col min="6406" max="6406" width="17.33203125" customWidth="1"/>
    <col min="6407" max="6407" width="12.5" customWidth="1"/>
    <col min="6408" max="6408" width="17" customWidth="1"/>
    <col min="6409" max="6409" width="13.5" customWidth="1"/>
    <col min="6657" max="6657" width="13.5" customWidth="1"/>
    <col min="6658" max="6658" width="17" customWidth="1"/>
    <col min="6659" max="6659" width="13.83203125" customWidth="1"/>
    <col min="6661" max="6661" width="13" customWidth="1"/>
    <col min="6662" max="6662" width="17.33203125" customWidth="1"/>
    <col min="6663" max="6663" width="12.5" customWidth="1"/>
    <col min="6664" max="6664" width="17" customWidth="1"/>
    <col min="6665" max="6665" width="13.5" customWidth="1"/>
    <col min="6913" max="6913" width="13.5" customWidth="1"/>
    <col min="6914" max="6914" width="17" customWidth="1"/>
    <col min="6915" max="6915" width="13.83203125" customWidth="1"/>
    <col min="6917" max="6917" width="13" customWidth="1"/>
    <col min="6918" max="6918" width="17.33203125" customWidth="1"/>
    <col min="6919" max="6919" width="12.5" customWidth="1"/>
    <col min="6920" max="6920" width="17" customWidth="1"/>
    <col min="6921" max="6921" width="13.5" customWidth="1"/>
    <col min="7169" max="7169" width="13.5" customWidth="1"/>
    <col min="7170" max="7170" width="17" customWidth="1"/>
    <col min="7171" max="7171" width="13.83203125" customWidth="1"/>
    <col min="7173" max="7173" width="13" customWidth="1"/>
    <col min="7174" max="7174" width="17.33203125" customWidth="1"/>
    <col min="7175" max="7175" width="12.5" customWidth="1"/>
    <col min="7176" max="7176" width="17" customWidth="1"/>
    <col min="7177" max="7177" width="13.5" customWidth="1"/>
    <col min="7425" max="7425" width="13.5" customWidth="1"/>
    <col min="7426" max="7426" width="17" customWidth="1"/>
    <col min="7427" max="7427" width="13.83203125" customWidth="1"/>
    <col min="7429" max="7429" width="13" customWidth="1"/>
    <col min="7430" max="7430" width="17.33203125" customWidth="1"/>
    <col min="7431" max="7431" width="12.5" customWidth="1"/>
    <col min="7432" max="7432" width="17" customWidth="1"/>
    <col min="7433" max="7433" width="13.5" customWidth="1"/>
    <col min="7681" max="7681" width="13.5" customWidth="1"/>
    <col min="7682" max="7682" width="17" customWidth="1"/>
    <col min="7683" max="7683" width="13.83203125" customWidth="1"/>
    <col min="7685" max="7685" width="13" customWidth="1"/>
    <col min="7686" max="7686" width="17.33203125" customWidth="1"/>
    <col min="7687" max="7687" width="12.5" customWidth="1"/>
    <col min="7688" max="7688" width="17" customWidth="1"/>
    <col min="7689" max="7689" width="13.5" customWidth="1"/>
    <col min="7937" max="7937" width="13.5" customWidth="1"/>
    <col min="7938" max="7938" width="17" customWidth="1"/>
    <col min="7939" max="7939" width="13.83203125" customWidth="1"/>
    <col min="7941" max="7941" width="13" customWidth="1"/>
    <col min="7942" max="7942" width="17.33203125" customWidth="1"/>
    <col min="7943" max="7943" width="12.5" customWidth="1"/>
    <col min="7944" max="7944" width="17" customWidth="1"/>
    <col min="7945" max="7945" width="13.5" customWidth="1"/>
    <col min="8193" max="8193" width="13.5" customWidth="1"/>
    <col min="8194" max="8194" width="17" customWidth="1"/>
    <col min="8195" max="8195" width="13.83203125" customWidth="1"/>
    <col min="8197" max="8197" width="13" customWidth="1"/>
    <col min="8198" max="8198" width="17.33203125" customWidth="1"/>
    <col min="8199" max="8199" width="12.5" customWidth="1"/>
    <col min="8200" max="8200" width="17" customWidth="1"/>
    <col min="8201" max="8201" width="13.5" customWidth="1"/>
    <col min="8449" max="8449" width="13.5" customWidth="1"/>
    <col min="8450" max="8450" width="17" customWidth="1"/>
    <col min="8451" max="8451" width="13.83203125" customWidth="1"/>
    <col min="8453" max="8453" width="13" customWidth="1"/>
    <col min="8454" max="8454" width="17.33203125" customWidth="1"/>
    <col min="8455" max="8455" width="12.5" customWidth="1"/>
    <col min="8456" max="8456" width="17" customWidth="1"/>
    <col min="8457" max="8457" width="13.5" customWidth="1"/>
    <col min="8705" max="8705" width="13.5" customWidth="1"/>
    <col min="8706" max="8706" width="17" customWidth="1"/>
    <col min="8707" max="8707" width="13.83203125" customWidth="1"/>
    <col min="8709" max="8709" width="13" customWidth="1"/>
    <col min="8710" max="8710" width="17.33203125" customWidth="1"/>
    <col min="8711" max="8711" width="12.5" customWidth="1"/>
    <col min="8712" max="8712" width="17" customWidth="1"/>
    <col min="8713" max="8713" width="13.5" customWidth="1"/>
    <col min="8961" max="8961" width="13.5" customWidth="1"/>
    <col min="8962" max="8962" width="17" customWidth="1"/>
    <col min="8963" max="8963" width="13.83203125" customWidth="1"/>
    <col min="8965" max="8965" width="13" customWidth="1"/>
    <col min="8966" max="8966" width="17.33203125" customWidth="1"/>
    <col min="8967" max="8967" width="12.5" customWidth="1"/>
    <col min="8968" max="8968" width="17" customWidth="1"/>
    <col min="8969" max="8969" width="13.5" customWidth="1"/>
    <col min="9217" max="9217" width="13.5" customWidth="1"/>
    <col min="9218" max="9218" width="17" customWidth="1"/>
    <col min="9219" max="9219" width="13.83203125" customWidth="1"/>
    <col min="9221" max="9221" width="13" customWidth="1"/>
    <col min="9222" max="9222" width="17.33203125" customWidth="1"/>
    <col min="9223" max="9223" width="12.5" customWidth="1"/>
    <col min="9224" max="9224" width="17" customWidth="1"/>
    <col min="9225" max="9225" width="13.5" customWidth="1"/>
    <col min="9473" max="9473" width="13.5" customWidth="1"/>
    <col min="9474" max="9474" width="17" customWidth="1"/>
    <col min="9475" max="9475" width="13.83203125" customWidth="1"/>
    <col min="9477" max="9477" width="13" customWidth="1"/>
    <col min="9478" max="9478" width="17.33203125" customWidth="1"/>
    <col min="9479" max="9479" width="12.5" customWidth="1"/>
    <col min="9480" max="9480" width="17" customWidth="1"/>
    <col min="9481" max="9481" width="13.5" customWidth="1"/>
    <col min="9729" max="9729" width="13.5" customWidth="1"/>
    <col min="9730" max="9730" width="17" customWidth="1"/>
    <col min="9731" max="9731" width="13.83203125" customWidth="1"/>
    <col min="9733" max="9733" width="13" customWidth="1"/>
    <col min="9734" max="9734" width="17.33203125" customWidth="1"/>
    <col min="9735" max="9735" width="12.5" customWidth="1"/>
    <col min="9736" max="9736" width="17" customWidth="1"/>
    <col min="9737" max="9737" width="13.5" customWidth="1"/>
    <col min="9985" max="9985" width="13.5" customWidth="1"/>
    <col min="9986" max="9986" width="17" customWidth="1"/>
    <col min="9987" max="9987" width="13.83203125" customWidth="1"/>
    <col min="9989" max="9989" width="13" customWidth="1"/>
    <col min="9990" max="9990" width="17.33203125" customWidth="1"/>
    <col min="9991" max="9991" width="12.5" customWidth="1"/>
    <col min="9992" max="9992" width="17" customWidth="1"/>
    <col min="9993" max="9993" width="13.5" customWidth="1"/>
    <col min="10241" max="10241" width="13.5" customWidth="1"/>
    <col min="10242" max="10242" width="17" customWidth="1"/>
    <col min="10243" max="10243" width="13.83203125" customWidth="1"/>
    <col min="10245" max="10245" width="13" customWidth="1"/>
    <col min="10246" max="10246" width="17.33203125" customWidth="1"/>
    <col min="10247" max="10247" width="12.5" customWidth="1"/>
    <col min="10248" max="10248" width="17" customWidth="1"/>
    <col min="10249" max="10249" width="13.5" customWidth="1"/>
    <col min="10497" max="10497" width="13.5" customWidth="1"/>
    <col min="10498" max="10498" width="17" customWidth="1"/>
    <col min="10499" max="10499" width="13.83203125" customWidth="1"/>
    <col min="10501" max="10501" width="13" customWidth="1"/>
    <col min="10502" max="10502" width="17.33203125" customWidth="1"/>
    <col min="10503" max="10503" width="12.5" customWidth="1"/>
    <col min="10504" max="10504" width="17" customWidth="1"/>
    <col min="10505" max="10505" width="13.5" customWidth="1"/>
    <col min="10753" max="10753" width="13.5" customWidth="1"/>
    <col min="10754" max="10754" width="17" customWidth="1"/>
    <col min="10755" max="10755" width="13.83203125" customWidth="1"/>
    <col min="10757" max="10757" width="13" customWidth="1"/>
    <col min="10758" max="10758" width="17.33203125" customWidth="1"/>
    <col min="10759" max="10759" width="12.5" customWidth="1"/>
    <col min="10760" max="10760" width="17" customWidth="1"/>
    <col min="10761" max="10761" width="13.5" customWidth="1"/>
    <col min="11009" max="11009" width="13.5" customWidth="1"/>
    <col min="11010" max="11010" width="17" customWidth="1"/>
    <col min="11011" max="11011" width="13.83203125" customWidth="1"/>
    <col min="11013" max="11013" width="13" customWidth="1"/>
    <col min="11014" max="11014" width="17.33203125" customWidth="1"/>
    <col min="11015" max="11015" width="12.5" customWidth="1"/>
    <col min="11016" max="11016" width="17" customWidth="1"/>
    <col min="11017" max="11017" width="13.5" customWidth="1"/>
    <col min="11265" max="11265" width="13.5" customWidth="1"/>
    <col min="11266" max="11266" width="17" customWidth="1"/>
    <col min="11267" max="11267" width="13.83203125" customWidth="1"/>
    <col min="11269" max="11269" width="13" customWidth="1"/>
    <col min="11270" max="11270" width="17.33203125" customWidth="1"/>
    <col min="11271" max="11271" width="12.5" customWidth="1"/>
    <col min="11272" max="11272" width="17" customWidth="1"/>
    <col min="11273" max="11273" width="13.5" customWidth="1"/>
    <col min="11521" max="11521" width="13.5" customWidth="1"/>
    <col min="11522" max="11522" width="17" customWidth="1"/>
    <col min="11523" max="11523" width="13.83203125" customWidth="1"/>
    <col min="11525" max="11525" width="13" customWidth="1"/>
    <col min="11526" max="11526" width="17.33203125" customWidth="1"/>
    <col min="11527" max="11527" width="12.5" customWidth="1"/>
    <col min="11528" max="11528" width="17" customWidth="1"/>
    <col min="11529" max="11529" width="13.5" customWidth="1"/>
    <col min="11777" max="11777" width="13.5" customWidth="1"/>
    <col min="11778" max="11778" width="17" customWidth="1"/>
    <col min="11779" max="11779" width="13.83203125" customWidth="1"/>
    <col min="11781" max="11781" width="13" customWidth="1"/>
    <col min="11782" max="11782" width="17.33203125" customWidth="1"/>
    <col min="11783" max="11783" width="12.5" customWidth="1"/>
    <col min="11784" max="11784" width="17" customWidth="1"/>
    <col min="11785" max="11785" width="13.5" customWidth="1"/>
    <col min="12033" max="12033" width="13.5" customWidth="1"/>
    <col min="12034" max="12034" width="17" customWidth="1"/>
    <col min="12035" max="12035" width="13.83203125" customWidth="1"/>
    <col min="12037" max="12037" width="13" customWidth="1"/>
    <col min="12038" max="12038" width="17.33203125" customWidth="1"/>
    <col min="12039" max="12039" width="12.5" customWidth="1"/>
    <col min="12040" max="12040" width="17" customWidth="1"/>
    <col min="12041" max="12041" width="13.5" customWidth="1"/>
    <col min="12289" max="12289" width="13.5" customWidth="1"/>
    <col min="12290" max="12290" width="17" customWidth="1"/>
    <col min="12291" max="12291" width="13.83203125" customWidth="1"/>
    <col min="12293" max="12293" width="13" customWidth="1"/>
    <col min="12294" max="12294" width="17.33203125" customWidth="1"/>
    <col min="12295" max="12295" width="12.5" customWidth="1"/>
    <col min="12296" max="12296" width="17" customWidth="1"/>
    <col min="12297" max="12297" width="13.5" customWidth="1"/>
    <col min="12545" max="12545" width="13.5" customWidth="1"/>
    <col min="12546" max="12546" width="17" customWidth="1"/>
    <col min="12547" max="12547" width="13.83203125" customWidth="1"/>
    <col min="12549" max="12549" width="13" customWidth="1"/>
    <col min="12550" max="12550" width="17.33203125" customWidth="1"/>
    <col min="12551" max="12551" width="12.5" customWidth="1"/>
    <col min="12552" max="12552" width="17" customWidth="1"/>
    <col min="12553" max="12553" width="13.5" customWidth="1"/>
    <col min="12801" max="12801" width="13.5" customWidth="1"/>
    <col min="12802" max="12802" width="17" customWidth="1"/>
    <col min="12803" max="12803" width="13.83203125" customWidth="1"/>
    <col min="12805" max="12805" width="13" customWidth="1"/>
    <col min="12806" max="12806" width="17.33203125" customWidth="1"/>
    <col min="12807" max="12807" width="12.5" customWidth="1"/>
    <col min="12808" max="12808" width="17" customWidth="1"/>
    <col min="12809" max="12809" width="13.5" customWidth="1"/>
    <col min="13057" max="13057" width="13.5" customWidth="1"/>
    <col min="13058" max="13058" width="17" customWidth="1"/>
    <col min="13059" max="13059" width="13.83203125" customWidth="1"/>
    <col min="13061" max="13061" width="13" customWidth="1"/>
    <col min="13062" max="13062" width="17.33203125" customWidth="1"/>
    <col min="13063" max="13063" width="12.5" customWidth="1"/>
    <col min="13064" max="13064" width="17" customWidth="1"/>
    <col min="13065" max="13065" width="13.5" customWidth="1"/>
    <col min="13313" max="13313" width="13.5" customWidth="1"/>
    <col min="13314" max="13314" width="17" customWidth="1"/>
    <col min="13315" max="13315" width="13.83203125" customWidth="1"/>
    <col min="13317" max="13317" width="13" customWidth="1"/>
    <col min="13318" max="13318" width="17.33203125" customWidth="1"/>
    <col min="13319" max="13319" width="12.5" customWidth="1"/>
    <col min="13320" max="13320" width="17" customWidth="1"/>
    <col min="13321" max="13321" width="13.5" customWidth="1"/>
    <col min="13569" max="13569" width="13.5" customWidth="1"/>
    <col min="13570" max="13570" width="17" customWidth="1"/>
    <col min="13571" max="13571" width="13.83203125" customWidth="1"/>
    <col min="13573" max="13573" width="13" customWidth="1"/>
    <col min="13574" max="13574" width="17.33203125" customWidth="1"/>
    <col min="13575" max="13575" width="12.5" customWidth="1"/>
    <col min="13576" max="13576" width="17" customWidth="1"/>
    <col min="13577" max="13577" width="13.5" customWidth="1"/>
    <col min="13825" max="13825" width="13.5" customWidth="1"/>
    <col min="13826" max="13826" width="17" customWidth="1"/>
    <col min="13827" max="13827" width="13.83203125" customWidth="1"/>
    <col min="13829" max="13829" width="13" customWidth="1"/>
    <col min="13830" max="13830" width="17.33203125" customWidth="1"/>
    <col min="13831" max="13831" width="12.5" customWidth="1"/>
    <col min="13832" max="13832" width="17" customWidth="1"/>
    <col min="13833" max="13833" width="13.5" customWidth="1"/>
    <col min="14081" max="14081" width="13.5" customWidth="1"/>
    <col min="14082" max="14082" width="17" customWidth="1"/>
    <col min="14083" max="14083" width="13.83203125" customWidth="1"/>
    <col min="14085" max="14085" width="13" customWidth="1"/>
    <col min="14086" max="14086" width="17.33203125" customWidth="1"/>
    <col min="14087" max="14087" width="12.5" customWidth="1"/>
    <col min="14088" max="14088" width="17" customWidth="1"/>
    <col min="14089" max="14089" width="13.5" customWidth="1"/>
    <col min="14337" max="14337" width="13.5" customWidth="1"/>
    <col min="14338" max="14338" width="17" customWidth="1"/>
    <col min="14339" max="14339" width="13.83203125" customWidth="1"/>
    <col min="14341" max="14341" width="13" customWidth="1"/>
    <col min="14342" max="14342" width="17.33203125" customWidth="1"/>
    <col min="14343" max="14343" width="12.5" customWidth="1"/>
    <col min="14344" max="14344" width="17" customWidth="1"/>
    <col min="14345" max="14345" width="13.5" customWidth="1"/>
    <col min="14593" max="14593" width="13.5" customWidth="1"/>
    <col min="14594" max="14594" width="17" customWidth="1"/>
    <col min="14595" max="14595" width="13.83203125" customWidth="1"/>
    <col min="14597" max="14597" width="13" customWidth="1"/>
    <col min="14598" max="14598" width="17.33203125" customWidth="1"/>
    <col min="14599" max="14599" width="12.5" customWidth="1"/>
    <col min="14600" max="14600" width="17" customWidth="1"/>
    <col min="14601" max="14601" width="13.5" customWidth="1"/>
    <col min="14849" max="14849" width="13.5" customWidth="1"/>
    <col min="14850" max="14850" width="17" customWidth="1"/>
    <col min="14851" max="14851" width="13.83203125" customWidth="1"/>
    <col min="14853" max="14853" width="13" customWidth="1"/>
    <col min="14854" max="14854" width="17.33203125" customWidth="1"/>
    <col min="14855" max="14855" width="12.5" customWidth="1"/>
    <col min="14856" max="14856" width="17" customWidth="1"/>
    <col min="14857" max="14857" width="13.5" customWidth="1"/>
    <col min="15105" max="15105" width="13.5" customWidth="1"/>
    <col min="15106" max="15106" width="17" customWidth="1"/>
    <col min="15107" max="15107" width="13.83203125" customWidth="1"/>
    <col min="15109" max="15109" width="13" customWidth="1"/>
    <col min="15110" max="15110" width="17.33203125" customWidth="1"/>
    <col min="15111" max="15111" width="12.5" customWidth="1"/>
    <col min="15112" max="15112" width="17" customWidth="1"/>
    <col min="15113" max="15113" width="13.5" customWidth="1"/>
    <col min="15361" max="15361" width="13.5" customWidth="1"/>
    <col min="15362" max="15362" width="17" customWidth="1"/>
    <col min="15363" max="15363" width="13.83203125" customWidth="1"/>
    <col min="15365" max="15365" width="13" customWidth="1"/>
    <col min="15366" max="15366" width="17.33203125" customWidth="1"/>
    <col min="15367" max="15367" width="12.5" customWidth="1"/>
    <col min="15368" max="15368" width="17" customWidth="1"/>
    <col min="15369" max="15369" width="13.5" customWidth="1"/>
    <col min="15617" max="15617" width="13.5" customWidth="1"/>
    <col min="15618" max="15618" width="17" customWidth="1"/>
    <col min="15619" max="15619" width="13.83203125" customWidth="1"/>
    <col min="15621" max="15621" width="13" customWidth="1"/>
    <col min="15622" max="15622" width="17.33203125" customWidth="1"/>
    <col min="15623" max="15623" width="12.5" customWidth="1"/>
    <col min="15624" max="15624" width="17" customWidth="1"/>
    <col min="15625" max="15625" width="13.5" customWidth="1"/>
    <col min="15873" max="15873" width="13.5" customWidth="1"/>
    <col min="15874" max="15874" width="17" customWidth="1"/>
    <col min="15875" max="15875" width="13.83203125" customWidth="1"/>
    <col min="15877" max="15877" width="13" customWidth="1"/>
    <col min="15878" max="15878" width="17.33203125" customWidth="1"/>
    <col min="15879" max="15879" width="12.5" customWidth="1"/>
    <col min="15880" max="15880" width="17" customWidth="1"/>
    <col min="15881" max="15881" width="13.5" customWidth="1"/>
    <col min="16129" max="16129" width="13.5" customWidth="1"/>
    <col min="16130" max="16130" width="17" customWidth="1"/>
    <col min="16131" max="16131" width="13.83203125" customWidth="1"/>
    <col min="16133" max="16133" width="13" customWidth="1"/>
    <col min="16134" max="16134" width="17.33203125" customWidth="1"/>
    <col min="16135" max="16135" width="12.5" customWidth="1"/>
    <col min="16136" max="16136" width="17" customWidth="1"/>
    <col min="16137" max="16137" width="13.5" customWidth="1"/>
  </cols>
  <sheetData>
    <row r="1" spans="1:10" x14ac:dyDescent="0.2">
      <c r="A1" s="28" t="s">
        <v>88</v>
      </c>
      <c r="B1" s="28"/>
      <c r="C1" s="28"/>
      <c r="D1" s="28"/>
      <c r="E1" s="28"/>
      <c r="F1" s="28"/>
      <c r="G1" s="28"/>
      <c r="H1" s="28"/>
    </row>
    <row r="2" spans="1:10" x14ac:dyDescent="0.2">
      <c r="A2" s="29" t="s">
        <v>132</v>
      </c>
      <c r="B2" s="29"/>
      <c r="C2" s="29"/>
      <c r="D2" s="29"/>
      <c r="E2" s="29"/>
      <c r="F2" s="29"/>
      <c r="G2" s="29"/>
      <c r="H2" s="29"/>
    </row>
    <row r="3" spans="1:10" ht="32" x14ac:dyDescent="0.2">
      <c r="B3" s="5" t="s">
        <v>87</v>
      </c>
      <c r="C3" s="4" t="s">
        <v>86</v>
      </c>
      <c r="F3" s="5" t="s">
        <v>87</v>
      </c>
      <c r="G3" s="4" t="s">
        <v>86</v>
      </c>
      <c r="I3" s="3" t="s">
        <v>92</v>
      </c>
    </row>
    <row r="4" spans="1:10" x14ac:dyDescent="0.2">
      <c r="A4" t="s">
        <v>85</v>
      </c>
      <c r="B4" s="13">
        <f>(0.27+1.05)/2</f>
        <v>0.66</v>
      </c>
      <c r="C4" s="1">
        <v>2</v>
      </c>
      <c r="E4" t="s">
        <v>84</v>
      </c>
      <c r="F4" s="9">
        <f>(0.79+2.98)/2</f>
        <v>1.885</v>
      </c>
      <c r="G4" s="1">
        <v>2</v>
      </c>
      <c r="I4" s="1" t="s">
        <v>83</v>
      </c>
      <c r="J4" s="2">
        <v>3.53</v>
      </c>
    </row>
    <row r="5" spans="1:10" x14ac:dyDescent="0.2">
      <c r="A5" t="s">
        <v>82</v>
      </c>
      <c r="B5" s="18">
        <f>(0.26+0.54+3.71+0.37+0.68+4.31+0.49+0.2+0.47+0.5+0.43+1.25+0.4+0.32+0.15+0.61+0.57+0.73+0.87+1.71+0.22+2.72+2.35+3.37+1.75+0.47+1.5+0.63+3.23+1.74+2.94+0.28+0.51+1.41+0.57+0.25)/36</f>
        <v>1.1808333333333332</v>
      </c>
      <c r="C5" s="17">
        <v>36</v>
      </c>
      <c r="E5" t="s">
        <v>81</v>
      </c>
      <c r="F5" s="18">
        <f>(2.56+4.17+3.09+3.11+3.1+0.03)/6</f>
        <v>2.6766666666666672</v>
      </c>
      <c r="G5" s="17">
        <v>6</v>
      </c>
      <c r="I5" s="1" t="s">
        <v>94</v>
      </c>
      <c r="J5" s="2">
        <v>3.47</v>
      </c>
    </row>
    <row r="6" spans="1:10" x14ac:dyDescent="0.2">
      <c r="A6" t="s">
        <v>79</v>
      </c>
      <c r="B6" s="18">
        <v>0.96</v>
      </c>
      <c r="C6" s="17">
        <v>1</v>
      </c>
      <c r="E6" t="s">
        <v>78</v>
      </c>
      <c r="F6" s="18">
        <f>(3+1.44+1.82+3.15+1.83+1.62+2.86+3.01+1.67+0+1.82+3.37+2.27+4.95+2.58+0.47+2.88+2.06+1.48)/19</f>
        <v>2.2252631578947368</v>
      </c>
      <c r="G6" s="17">
        <v>19</v>
      </c>
      <c r="I6" s="1" t="s">
        <v>80</v>
      </c>
      <c r="J6" s="2">
        <v>4.0999999999999996</v>
      </c>
    </row>
    <row r="7" spans="1:10" x14ac:dyDescent="0.2">
      <c r="A7" t="s">
        <v>76</v>
      </c>
      <c r="B7" s="13" t="s">
        <v>117</v>
      </c>
      <c r="C7" s="1">
        <v>0</v>
      </c>
      <c r="E7" t="s">
        <v>75</v>
      </c>
      <c r="F7" s="9">
        <v>4.0599999999999996</v>
      </c>
      <c r="G7" s="1">
        <v>1</v>
      </c>
      <c r="I7" s="1" t="s">
        <v>77</v>
      </c>
      <c r="J7" s="2">
        <v>3.76</v>
      </c>
    </row>
    <row r="8" spans="1:10" x14ac:dyDescent="0.2">
      <c r="A8" t="s">
        <v>73</v>
      </c>
      <c r="B8" s="13">
        <f>(2.45+2.08+1+2.97)/4</f>
        <v>2.125</v>
      </c>
      <c r="C8" s="1">
        <v>4</v>
      </c>
      <c r="E8" t="s">
        <v>72</v>
      </c>
      <c r="F8" s="9">
        <f>(2.13+2.64+3.29+1.88+2.22+0.76+3.01+6.79+0.66)/9</f>
        <v>2.5977777777777775</v>
      </c>
      <c r="G8" s="1">
        <v>9</v>
      </c>
      <c r="I8" s="1" t="s">
        <v>95</v>
      </c>
      <c r="J8" s="2">
        <v>4.62</v>
      </c>
    </row>
    <row r="9" spans="1:10" x14ac:dyDescent="0.2">
      <c r="A9" t="s">
        <v>71</v>
      </c>
      <c r="B9" s="18" t="s">
        <v>117</v>
      </c>
      <c r="C9" s="17">
        <v>0</v>
      </c>
      <c r="E9" t="s">
        <v>70</v>
      </c>
      <c r="F9" s="18">
        <f>(3.62+2.98+3.16+3.02)/4</f>
        <v>3.1949999999999998</v>
      </c>
      <c r="G9" s="17">
        <v>4</v>
      </c>
      <c r="I9" s="1" t="s">
        <v>96</v>
      </c>
      <c r="J9" s="2">
        <v>3.73</v>
      </c>
    </row>
    <row r="10" spans="1:10" x14ac:dyDescent="0.2">
      <c r="A10" t="s">
        <v>69</v>
      </c>
      <c r="B10" s="18" t="s">
        <v>117</v>
      </c>
      <c r="C10" s="17">
        <v>0</v>
      </c>
      <c r="E10" t="s">
        <v>68</v>
      </c>
      <c r="F10" s="18">
        <f>(0+1.89+1.28+2.63+0.89)/5</f>
        <v>1.3379999999999999</v>
      </c>
      <c r="G10" s="17">
        <v>5</v>
      </c>
      <c r="I10" s="1" t="s">
        <v>97</v>
      </c>
      <c r="J10" s="2">
        <v>4.09</v>
      </c>
    </row>
    <row r="11" spans="1:10" x14ac:dyDescent="0.2">
      <c r="A11" t="s">
        <v>66</v>
      </c>
      <c r="B11" s="13">
        <f>(3.79+3.28)/2</f>
        <v>3.5350000000000001</v>
      </c>
      <c r="C11" s="1">
        <v>2</v>
      </c>
      <c r="E11" t="s">
        <v>65</v>
      </c>
      <c r="F11" s="9">
        <f>(4.74+2.32+2.65+3.6+3.68+2.24+3.97+2.7+5.23+4.1)/10</f>
        <v>3.5230000000000006</v>
      </c>
      <c r="G11" s="1">
        <v>10</v>
      </c>
      <c r="I11" s="1" t="s">
        <v>74</v>
      </c>
      <c r="J11" s="2">
        <v>5.82</v>
      </c>
    </row>
    <row r="12" spans="1:10" x14ac:dyDescent="0.2">
      <c r="A12" t="s">
        <v>63</v>
      </c>
      <c r="B12" s="13" t="s">
        <v>117</v>
      </c>
      <c r="C12" s="1">
        <v>0</v>
      </c>
      <c r="E12" t="s">
        <v>62</v>
      </c>
      <c r="F12" s="9" t="s">
        <v>117</v>
      </c>
      <c r="G12" s="1">
        <v>0</v>
      </c>
      <c r="I12" s="1" t="s">
        <v>98</v>
      </c>
      <c r="J12" s="2">
        <v>3.85</v>
      </c>
    </row>
    <row r="13" spans="1:10" x14ac:dyDescent="0.2">
      <c r="A13" t="s">
        <v>61</v>
      </c>
      <c r="B13" s="18" t="s">
        <v>117</v>
      </c>
      <c r="C13" s="17">
        <v>0</v>
      </c>
      <c r="E13" t="s">
        <v>60</v>
      </c>
      <c r="F13" s="18" t="s">
        <v>117</v>
      </c>
      <c r="G13" s="17">
        <v>0</v>
      </c>
      <c r="I13" s="1" t="s">
        <v>99</v>
      </c>
      <c r="J13" s="2">
        <v>2.2200000000000002</v>
      </c>
    </row>
    <row r="14" spans="1:10" x14ac:dyDescent="0.2">
      <c r="A14" t="s">
        <v>59</v>
      </c>
      <c r="B14" s="18">
        <v>2.15</v>
      </c>
      <c r="C14" s="17">
        <v>1</v>
      </c>
      <c r="E14" t="s">
        <v>58</v>
      </c>
      <c r="F14" s="18">
        <f>(4.69+2.99+2.68+6.48+4.27+1.08+2.86+2.02+2.59+3.24+2.04+2.88+1.9+2.61+3.12+2.58+2.47+7.48+2.96+5.1+3.3+1.63)/22</f>
        <v>3.2259090909090911</v>
      </c>
      <c r="G14" s="17">
        <v>22</v>
      </c>
      <c r="I14" s="1" t="s">
        <v>100</v>
      </c>
      <c r="J14" s="2">
        <v>4.38</v>
      </c>
    </row>
    <row r="15" spans="1:10" x14ac:dyDescent="0.2">
      <c r="A15" t="s">
        <v>57</v>
      </c>
      <c r="B15" s="13">
        <v>2</v>
      </c>
      <c r="C15" s="1">
        <v>1</v>
      </c>
      <c r="E15" t="s">
        <v>56</v>
      </c>
      <c r="F15" s="9" t="s">
        <v>117</v>
      </c>
      <c r="G15" s="1">
        <v>0</v>
      </c>
      <c r="I15" s="1" t="s">
        <v>101</v>
      </c>
      <c r="J15" s="2">
        <v>3.96</v>
      </c>
    </row>
    <row r="16" spans="1:10" x14ac:dyDescent="0.2">
      <c r="A16" t="s">
        <v>54</v>
      </c>
      <c r="B16" s="13">
        <f>(4.99+3.41+5.59)/3</f>
        <v>4.6633333333333331</v>
      </c>
      <c r="C16" s="1">
        <v>3</v>
      </c>
      <c r="E16" t="s">
        <v>53</v>
      </c>
      <c r="F16" s="9">
        <v>3.97</v>
      </c>
      <c r="G16" s="1">
        <v>1</v>
      </c>
      <c r="I16" s="1" t="s">
        <v>102</v>
      </c>
      <c r="J16" s="2">
        <v>3.57</v>
      </c>
    </row>
    <row r="17" spans="1:10" x14ac:dyDescent="0.2">
      <c r="A17" t="s">
        <v>52</v>
      </c>
      <c r="B17" s="18">
        <v>2.41</v>
      </c>
      <c r="C17" s="17">
        <v>1</v>
      </c>
      <c r="E17" t="s">
        <v>51</v>
      </c>
      <c r="F17" s="18">
        <f>(5.74+4.51+3.55+3.07+2.28+5.19+7.78+2.39+9.6)/9</f>
        <v>4.9011111111111116</v>
      </c>
      <c r="G17" s="17">
        <v>9</v>
      </c>
      <c r="I17" s="1" t="s">
        <v>103</v>
      </c>
      <c r="J17" s="2">
        <v>3.5</v>
      </c>
    </row>
    <row r="18" spans="1:10" x14ac:dyDescent="0.2">
      <c r="A18" t="s">
        <v>49</v>
      </c>
      <c r="B18" s="18" t="s">
        <v>117</v>
      </c>
      <c r="C18" s="17">
        <v>0</v>
      </c>
      <c r="E18" t="s">
        <v>48</v>
      </c>
      <c r="F18" s="18">
        <f>(1.97+1.13+3.02+0.15+1.47+1.53+2.19+0.49+0.75+1.27+0.29+0.35+0.87+0.44+1.14+0.07+1.25+0.67+8.57+0.3+0.82+1.65+0.1+0)/24</f>
        <v>1.2704166666666665</v>
      </c>
      <c r="G18" s="17">
        <v>24</v>
      </c>
      <c r="I18" s="1" t="s">
        <v>67</v>
      </c>
      <c r="J18" s="2">
        <v>5.38</v>
      </c>
    </row>
    <row r="19" spans="1:10" x14ac:dyDescent="0.2">
      <c r="A19" t="s">
        <v>46</v>
      </c>
      <c r="B19" s="13" t="s">
        <v>117</v>
      </c>
      <c r="C19" s="1">
        <v>0</v>
      </c>
      <c r="E19" t="s">
        <v>45</v>
      </c>
      <c r="F19" s="9">
        <f>(4.05+2.76+0.89)/3</f>
        <v>2.5666666666666664</v>
      </c>
      <c r="G19" s="1">
        <v>3</v>
      </c>
      <c r="I19" s="1" t="s">
        <v>64</v>
      </c>
      <c r="J19" s="2">
        <v>4.12</v>
      </c>
    </row>
    <row r="20" spans="1:10" x14ac:dyDescent="0.2">
      <c r="A20" t="s">
        <v>43</v>
      </c>
      <c r="B20" s="13">
        <f>(2.02+4.18+4.09+4.98+3.97+4.19)/6</f>
        <v>3.9049999999999998</v>
      </c>
      <c r="C20" s="1">
        <v>6</v>
      </c>
      <c r="E20" t="s">
        <v>42</v>
      </c>
      <c r="F20" s="9">
        <f>(1.99+2.19+2.92+1.09)/4</f>
        <v>2.0474999999999999</v>
      </c>
      <c r="G20" s="1">
        <v>4</v>
      </c>
      <c r="I20" s="1" t="s">
        <v>104</v>
      </c>
      <c r="J20" s="2">
        <v>3.62</v>
      </c>
    </row>
    <row r="21" spans="1:10" x14ac:dyDescent="0.2">
      <c r="A21" t="s">
        <v>40</v>
      </c>
      <c r="B21" s="18" t="s">
        <v>117</v>
      </c>
      <c r="C21" s="17">
        <v>0</v>
      </c>
      <c r="E21" t="s">
        <v>39</v>
      </c>
      <c r="F21" s="18">
        <f>(1.97+3.9+3.84+8.36+2.69+7.55+0.89)/7</f>
        <v>4.1714285714285717</v>
      </c>
      <c r="G21" s="17">
        <v>7</v>
      </c>
      <c r="I21" s="1" t="s">
        <v>105</v>
      </c>
      <c r="J21" s="2">
        <v>4.3099999999999996</v>
      </c>
    </row>
    <row r="22" spans="1:10" x14ac:dyDescent="0.2">
      <c r="A22" t="s">
        <v>37</v>
      </c>
      <c r="B22" s="18" t="s">
        <v>117</v>
      </c>
      <c r="C22" s="17">
        <v>0</v>
      </c>
      <c r="E22" t="s">
        <v>36</v>
      </c>
      <c r="F22" s="18" t="s">
        <v>117</v>
      </c>
      <c r="G22" s="17">
        <v>0</v>
      </c>
      <c r="I22" s="1" t="s">
        <v>10</v>
      </c>
      <c r="J22" s="2">
        <v>3.36</v>
      </c>
    </row>
    <row r="23" spans="1:10" x14ac:dyDescent="0.2">
      <c r="A23" t="s">
        <v>35</v>
      </c>
      <c r="B23" s="13">
        <v>0.77</v>
      </c>
      <c r="C23" s="1">
        <v>1</v>
      </c>
      <c r="E23" t="s">
        <v>34</v>
      </c>
      <c r="F23" s="9" t="s">
        <v>117</v>
      </c>
      <c r="G23" s="1">
        <v>0</v>
      </c>
      <c r="I23" s="1" t="s">
        <v>115</v>
      </c>
      <c r="J23" s="2">
        <v>4.25</v>
      </c>
    </row>
    <row r="24" spans="1:10" x14ac:dyDescent="0.2">
      <c r="A24" t="s">
        <v>32</v>
      </c>
      <c r="B24" s="13" t="s">
        <v>117</v>
      </c>
      <c r="C24" s="1">
        <v>0</v>
      </c>
      <c r="E24" t="s">
        <v>31</v>
      </c>
      <c r="F24" s="9" t="s">
        <v>117</v>
      </c>
      <c r="G24" s="1">
        <v>0</v>
      </c>
      <c r="I24" s="1" t="s">
        <v>106</v>
      </c>
      <c r="J24" s="2">
        <v>4.17</v>
      </c>
    </row>
    <row r="25" spans="1:10" x14ac:dyDescent="0.2">
      <c r="A25" t="s">
        <v>29</v>
      </c>
      <c r="B25" s="18">
        <f>(2.21+2.2+2.61)/3</f>
        <v>2.34</v>
      </c>
      <c r="C25" s="17">
        <v>3</v>
      </c>
      <c r="E25" t="s">
        <v>28</v>
      </c>
      <c r="F25" s="18">
        <v>4.78</v>
      </c>
      <c r="G25" s="17">
        <v>1</v>
      </c>
      <c r="I25" s="1" t="s">
        <v>55</v>
      </c>
      <c r="J25" s="2">
        <v>4.33</v>
      </c>
    </row>
    <row r="26" spans="1:10" x14ac:dyDescent="0.2">
      <c r="A26" t="s">
        <v>26</v>
      </c>
      <c r="B26" s="18" t="s">
        <v>117</v>
      </c>
      <c r="C26" s="17">
        <v>0</v>
      </c>
      <c r="E26" t="s">
        <v>25</v>
      </c>
      <c r="F26" s="18">
        <f>(1.7+1.53)/2</f>
        <v>1.615</v>
      </c>
      <c r="G26" s="17">
        <v>2</v>
      </c>
      <c r="I26" s="1" t="s">
        <v>116</v>
      </c>
      <c r="J26" s="2">
        <v>3.88</v>
      </c>
    </row>
    <row r="27" spans="1:10" x14ac:dyDescent="0.2">
      <c r="A27" t="s">
        <v>23</v>
      </c>
      <c r="B27" s="13">
        <v>0.65</v>
      </c>
      <c r="C27" s="1">
        <v>1</v>
      </c>
      <c r="E27" t="s">
        <v>22</v>
      </c>
      <c r="F27" s="9">
        <f>(3.34+1.28+3.68+1.45+2.33+2.09)/6</f>
        <v>2.3616666666666668</v>
      </c>
      <c r="G27" s="1">
        <v>6</v>
      </c>
      <c r="I27" s="1" t="s">
        <v>107</v>
      </c>
      <c r="J27" s="2">
        <v>3.27</v>
      </c>
    </row>
    <row r="28" spans="1:10" x14ac:dyDescent="0.2">
      <c r="A28" t="s">
        <v>20</v>
      </c>
      <c r="B28" s="13">
        <f>(3.97+4.97+3.27+2.21+3.37+4.17+5.31)/7</f>
        <v>3.8957142857142855</v>
      </c>
      <c r="C28" s="1">
        <v>7</v>
      </c>
      <c r="E28" t="s">
        <v>19</v>
      </c>
      <c r="F28" s="9">
        <f>(3.28+3.2+3.02+2.05+2.76+2.74+2.55+3.77+3.8+2.37+2.67+3.52+2.09+4.96)/14</f>
        <v>3.0557142857142865</v>
      </c>
      <c r="G28" s="1">
        <v>14</v>
      </c>
      <c r="I28" s="1" t="s">
        <v>50</v>
      </c>
      <c r="J28" s="2">
        <v>3.31</v>
      </c>
    </row>
    <row r="29" spans="1:10" x14ac:dyDescent="0.2">
      <c r="A29" t="s">
        <v>17</v>
      </c>
      <c r="B29" s="18">
        <f>(1.55+2.14+1.89+1.09)/4</f>
        <v>1.6675</v>
      </c>
      <c r="C29" s="17">
        <v>4</v>
      </c>
      <c r="E29" t="s">
        <v>16</v>
      </c>
      <c r="F29" s="18" t="s">
        <v>117</v>
      </c>
      <c r="G29" s="17">
        <v>0</v>
      </c>
      <c r="I29" s="1" t="s">
        <v>47</v>
      </c>
      <c r="J29" s="2">
        <v>4.26</v>
      </c>
    </row>
    <row r="30" spans="1:10" x14ac:dyDescent="0.2">
      <c r="A30" t="s">
        <v>14</v>
      </c>
      <c r="B30" s="18">
        <f>(1.52+2.36)/2</f>
        <v>1.94</v>
      </c>
      <c r="C30" s="17">
        <v>2</v>
      </c>
      <c r="E30" t="s">
        <v>13</v>
      </c>
      <c r="F30" s="18">
        <f>(2.13+2.35)/2</f>
        <v>2.2400000000000002</v>
      </c>
      <c r="G30" s="17">
        <v>2</v>
      </c>
      <c r="I30" s="1" t="s">
        <v>44</v>
      </c>
      <c r="J30" s="2">
        <v>3.71</v>
      </c>
    </row>
    <row r="31" spans="1:10" x14ac:dyDescent="0.2">
      <c r="A31" t="s">
        <v>12</v>
      </c>
      <c r="B31" s="13">
        <f>(1.67+2.23+0.92)/3</f>
        <v>1.6066666666666667</v>
      </c>
      <c r="C31" s="1">
        <v>3</v>
      </c>
      <c r="E31" t="s">
        <v>11</v>
      </c>
      <c r="F31" s="9">
        <v>2.15</v>
      </c>
      <c r="G31" s="1">
        <v>1</v>
      </c>
      <c r="I31" s="1" t="s">
        <v>41</v>
      </c>
      <c r="J31" s="2">
        <v>3.24</v>
      </c>
    </row>
    <row r="32" spans="1:10" x14ac:dyDescent="0.2">
      <c r="A32" t="s">
        <v>10</v>
      </c>
      <c r="B32" s="13">
        <v>2.13</v>
      </c>
      <c r="C32" s="1">
        <v>1</v>
      </c>
      <c r="E32" t="s">
        <v>9</v>
      </c>
      <c r="F32" s="9">
        <f>(1.64+1.85+1.17+2.32+2.4)/5</f>
        <v>1.8760000000000001</v>
      </c>
      <c r="G32" s="1">
        <v>5</v>
      </c>
      <c r="I32" s="1" t="s">
        <v>38</v>
      </c>
      <c r="J32" s="2">
        <v>4.05</v>
      </c>
    </row>
    <row r="33" spans="1:10" x14ac:dyDescent="0.2">
      <c r="A33" t="s">
        <v>8</v>
      </c>
      <c r="B33" s="18" t="s">
        <v>117</v>
      </c>
      <c r="C33" s="17">
        <v>0</v>
      </c>
      <c r="E33" t="s">
        <v>7</v>
      </c>
      <c r="F33" s="18">
        <f>(3.84+3.66)/2</f>
        <v>3.75</v>
      </c>
      <c r="G33" s="17">
        <v>2</v>
      </c>
      <c r="I33" s="1" t="s">
        <v>108</v>
      </c>
      <c r="J33" s="2">
        <v>3.64</v>
      </c>
    </row>
    <row r="34" spans="1:10" x14ac:dyDescent="0.2">
      <c r="A34" t="s">
        <v>6</v>
      </c>
      <c r="B34" s="18" t="s">
        <v>117</v>
      </c>
      <c r="C34" s="17">
        <v>0</v>
      </c>
      <c r="E34" t="s">
        <v>5</v>
      </c>
      <c r="F34" s="18">
        <v>1.21</v>
      </c>
      <c r="G34" s="17">
        <v>1</v>
      </c>
      <c r="I34" s="1" t="s">
        <v>109</v>
      </c>
      <c r="J34" s="2">
        <v>3.86</v>
      </c>
    </row>
    <row r="35" spans="1:10" x14ac:dyDescent="0.2">
      <c r="A35" t="s">
        <v>4</v>
      </c>
      <c r="B35" s="13" t="s">
        <v>117</v>
      </c>
      <c r="C35" s="1">
        <v>0</v>
      </c>
      <c r="E35" t="s">
        <v>3</v>
      </c>
      <c r="F35" s="9">
        <f>(3.29+0.65)/2</f>
        <v>1.97</v>
      </c>
      <c r="G35" s="1">
        <v>2</v>
      </c>
      <c r="I35" s="1" t="s">
        <v>110</v>
      </c>
      <c r="J35" s="2">
        <v>3.61</v>
      </c>
    </row>
    <row r="36" spans="1:10" x14ac:dyDescent="0.2">
      <c r="A36" t="s">
        <v>2</v>
      </c>
      <c r="B36" s="13" t="s">
        <v>117</v>
      </c>
      <c r="C36" s="1">
        <v>0</v>
      </c>
      <c r="E36" t="s">
        <v>1</v>
      </c>
      <c r="F36" s="9">
        <f>(3.02+3.33+3.11)/3</f>
        <v>3.1533333333333329</v>
      </c>
      <c r="G36" s="1">
        <v>3</v>
      </c>
      <c r="I36" s="1" t="s">
        <v>111</v>
      </c>
      <c r="J36" s="2">
        <v>3.34</v>
      </c>
    </row>
    <row r="37" spans="1:10" x14ac:dyDescent="0.2">
      <c r="A37" t="s">
        <v>0</v>
      </c>
      <c r="B37" s="18" t="s">
        <v>117</v>
      </c>
      <c r="C37" s="17">
        <v>0</v>
      </c>
      <c r="I37" s="1" t="s">
        <v>33</v>
      </c>
      <c r="J37" s="2">
        <v>4.05</v>
      </c>
    </row>
    <row r="38" spans="1:10" x14ac:dyDescent="0.2">
      <c r="I38" s="1" t="s">
        <v>30</v>
      </c>
      <c r="J38" s="2">
        <v>3.79</v>
      </c>
    </row>
    <row r="39" spans="1:10" x14ac:dyDescent="0.2">
      <c r="I39" s="1" t="s">
        <v>27</v>
      </c>
      <c r="J39" s="2">
        <v>3.96</v>
      </c>
    </row>
    <row r="40" spans="1:10" x14ac:dyDescent="0.2">
      <c r="I40" s="1" t="s">
        <v>24</v>
      </c>
      <c r="J40" s="2">
        <v>3.47</v>
      </c>
    </row>
    <row r="41" spans="1:10" x14ac:dyDescent="0.2">
      <c r="I41" s="1" t="s">
        <v>21</v>
      </c>
      <c r="J41" s="2">
        <v>4.12</v>
      </c>
    </row>
    <row r="42" spans="1:10" x14ac:dyDescent="0.2">
      <c r="I42" s="1" t="s">
        <v>113</v>
      </c>
      <c r="J42" s="2">
        <v>3.52</v>
      </c>
    </row>
    <row r="43" spans="1:10" x14ac:dyDescent="0.2">
      <c r="I43" s="1" t="s">
        <v>18</v>
      </c>
      <c r="J43" s="2">
        <v>3.46</v>
      </c>
    </row>
    <row r="44" spans="1:10" x14ac:dyDescent="0.2">
      <c r="I44" s="1" t="s">
        <v>112</v>
      </c>
      <c r="J44" s="2">
        <v>3.55</v>
      </c>
    </row>
    <row r="45" spans="1:10" x14ac:dyDescent="0.2">
      <c r="I45" s="1" t="s">
        <v>15</v>
      </c>
      <c r="J45" s="2">
        <v>3.37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CoCoRAHS January 2022</vt:lpstr>
      <vt:lpstr>CoCoRAHS_February 2022</vt:lpstr>
      <vt:lpstr>CoCoRAHS_March 2022</vt:lpstr>
      <vt:lpstr>CoCoRAHS_April 2022</vt:lpstr>
      <vt:lpstr>CoCoRAHS_May 2022</vt:lpstr>
      <vt:lpstr>CoCoRAHS_June 2022</vt:lpstr>
      <vt:lpstr>CoCoRAHS_July 2022</vt:lpstr>
      <vt:lpstr>CoCoRAHS_August_2022</vt:lpstr>
      <vt:lpstr>CoCoRAHS_September 2022</vt:lpstr>
      <vt:lpstr>CoCoRAHS_October_2022</vt:lpstr>
      <vt:lpstr>CoCoRAHS_November_2022</vt:lpstr>
      <vt:lpstr>CoCoRAHS_December_2021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Whitney</dc:creator>
  <cp:lastModifiedBy>Jennifer Geary</cp:lastModifiedBy>
  <dcterms:created xsi:type="dcterms:W3CDTF">2015-02-02T17:41:55Z</dcterms:created>
  <dcterms:modified xsi:type="dcterms:W3CDTF">2023-01-04T19:28:18Z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e24fda99-2632-46da-8236-cfc975c5a77b</vt:lpwstr>
  </property>
</Properties>
</file>